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765" windowHeight="4785" activeTab="0"/>
  </bookViews>
  <sheets>
    <sheet name="Кирилл" sheetId="1" r:id="rId1"/>
    <sheet name="Рус" sheetId="2" r:id="rId2"/>
    <sheet name="Лотин" sheetId="3" r:id="rId3"/>
  </sheets>
  <externalReferences>
    <externalReference r:id="rId6"/>
  </externalReferences>
  <definedNames>
    <definedName name="_xlnm.Print_Area" localSheetId="0">'Кирилл'!$A$1:$J$55</definedName>
  </definedNames>
  <calcPr fullCalcOnLoad="1"/>
</workbook>
</file>

<file path=xl/sharedStrings.xml><?xml version="1.0" encoding="utf-8"?>
<sst xmlns="http://schemas.openxmlformats.org/spreadsheetml/2006/main" count="282" uniqueCount="230">
  <si>
    <t>Ҳудудлар ва объектлар номи</t>
  </si>
  <si>
    <t>шу жумладан</t>
  </si>
  <si>
    <t xml:space="preserve">Аввалги йиллардан ўтувчи объектлар </t>
  </si>
  <si>
    <t>Наманган вилояти гидрометеорология бошқармаси маъмурий биноси қурилиши</t>
  </si>
  <si>
    <t>"Тошкент" аэрология станцияси янги биноси қурилиши</t>
  </si>
  <si>
    <t>Тошкент вилояти Чиноз туманида "Чиноз" гидрологик станцияси янги биносини қурилиши</t>
  </si>
  <si>
    <t>Янги қурилиш</t>
  </si>
  <si>
    <t>Реконструкция</t>
  </si>
  <si>
    <t>Лойиҳа-қидирув ишлари учун</t>
  </si>
  <si>
    <t>Кредитор қарздорлик 2020 йил объектлари учун (5%)</t>
  </si>
  <si>
    <t>"NAMANGAN QURILISH" МЧЖ</t>
  </si>
  <si>
    <t>"SIDERIS QURILISH GROUP" МЧЖ</t>
  </si>
  <si>
    <t>"ISTIQBOL XXI ASR" МЧЖ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</si>
  <si>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</si>
  <si>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</si>
  <si>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</si>
  <si>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</si>
  <si>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</si>
  <si>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Наманган вилояти</t>
  </si>
  <si>
    <t>Навоий вилояти</t>
  </si>
  <si>
    <t>Сурхондарё вилояти</t>
  </si>
  <si>
    <t>Самарқанд вилояти</t>
  </si>
  <si>
    <t>Тошкент вилояти</t>
  </si>
  <si>
    <t>Фарғона вилояти</t>
  </si>
  <si>
    <t>Хоразм вилояти</t>
  </si>
  <si>
    <t>Т/р</t>
  </si>
  <si>
    <t>Янгидан бошланувчи объектлар:</t>
  </si>
  <si>
    <t>ЖАМИ:</t>
  </si>
  <si>
    <t>"JANDOS QURUVCHI" МЧЖ</t>
  </si>
  <si>
    <t>"GIDROSPETSMONTAJ"
МЧЖ</t>
  </si>
  <si>
    <t>"KARMANA PARDOZ SERVIS" XK</t>
  </si>
  <si>
    <t>"ТАЪМИРЧИ АГРОКУРИЛИШ" МЧЖ</t>
  </si>
  <si>
    <t>"САРИОСИЁ КАПИТАЛ ИНВЕСТ" ИТКК</t>
  </si>
  <si>
    <t>"IMPERIAL STROY SERVICE" МЧЖ</t>
  </si>
  <si>
    <t>"QURILISH TREST-014" МЧЖ</t>
  </si>
  <si>
    <t>"IMPERIAL STROY 
SERVICE" МЧЖ</t>
  </si>
  <si>
    <t>"OBOD GM SHAHAR QURILISH" МЧЖ</t>
  </si>
  <si>
    <t>"САРИОСИЁ КАПИТАЛ
ИНВЕСТ" ИТКК</t>
  </si>
  <si>
    <t>"MARUF QURILISH SERVIS" МЧЖ</t>
  </si>
  <si>
    <t>"BUNYODKOR OMADLI
DILSHOD" XK</t>
  </si>
  <si>
    <t>"ХУРШИД" МЧЖ</t>
  </si>
  <si>
    <t>"20-TREST" МЧЖ "QURILISH STANDART TA'MINOT SERVIS" ШК</t>
  </si>
  <si>
    <t>Тошкент шаҳрида (Яшнобод, Миробод, Олмазор туманлари) 3 та атроф-муҳит ифлосланишини кузатиш постларини реконструкция қилиш</t>
  </si>
  <si>
    <t>Қашқадарё вилояти Шахрисябз туманида 3 та ва Китоб туманида 1 та жами 4 та атроф-муҳит ифлосланишини кузатиш постларини реконструкция қилиш</t>
  </si>
  <si>
    <t>Хоразм вилояти Питнак шаҳрида “Туямуюн” кўл станцияси янги биноси қурилиши</t>
  </si>
  <si>
    <t>Хоразм вилояти Хива шаҳрида Хоразм вилояти гидрометеорология бошқармаси маъмурий биноси қурилиши</t>
  </si>
  <si>
    <t>Фарғона вилояти Фарғона туманида “Шохимардон” метеорологик станцияси янги биноси қурилиши</t>
  </si>
  <si>
    <t>Тошкент вилояти Олмалиқ шаҳрида “Олмалиқ” метеорологик станцияси янги биноси қурилиши</t>
  </si>
  <si>
    <t>Тошкент вилояти Бўка туманида “Кўкорол” метеорологик станцияси янги биноси қурилиши</t>
  </si>
  <si>
    <t>Тошкент вилояти Ўрта Чирчиқ туманида “Туябугуз” кўл станцияси янги биноси қурилиши</t>
  </si>
  <si>
    <t>Самарқанд вилояти Оқдарё туманида “Дағбит” агрометеорологик станцияси янги биноси қурилиши</t>
  </si>
  <si>
    <t>Сурхондарё вилояти Шўрчи туманида “Шўрчи” метеорологик станцияси янги биноси қурилиши</t>
  </si>
  <si>
    <t>Сурхондарё вилояти Сароссиё туманида “Сароссиё” метеорологик станцияси янги биноси қурилиши</t>
  </si>
  <si>
    <t>Навоий вилояти Томди  туманида “Томди” метеорологик станцияси янги биноси қурилиши</t>
  </si>
  <si>
    <t>Навоий вилояти Учқудуқ туманида “Бузаубай” метеорологик станцияси янги биноси қурилиши</t>
  </si>
  <si>
    <t xml:space="preserve">Қашқадарё вилояти Қарши шаҳрида Қашқадарё вилояти гидрометеорология бошқармаси маъмурий биноси қурилиши </t>
  </si>
  <si>
    <t>Қашқадарё вилояти Деҳқонобод туманида “Дехқонобод” метеорологик станцияси янги биноси қурилиши</t>
  </si>
  <si>
    <t>Жиззах вилояти Бахмал туманида “Бахмал” метеорологик станцияси янги биноси қурилиши</t>
  </si>
  <si>
    <t>Жиззах вилояти Фориш туманида “Янгиқишлоқ” метеорологик станцияси янги биноси қурилиши</t>
  </si>
  <si>
    <t>Жиззах вилояти Жиззах шаҳрида Жиззах вилояти гидрометеорология бошқармаси маъмурий биноси қурилиши</t>
  </si>
  <si>
    <t>Бухоро вилояти Ромитан туманида “Қизил-Ровот” метеорологик станцияси янги биноси қурилиши</t>
  </si>
  <si>
    <t>Андижон вилояти Қўрғонтепа туманида “Қўрғонтепа” метеорологик станцияси янги биноси қурилиши</t>
  </si>
  <si>
    <t xml:space="preserve">Қорақалпоғистон Республикаси Бўстон туманида "Бўстон" метеорология станцияси янги биноси қурилиши </t>
  </si>
  <si>
    <t>Қорақалпоғистон Республикаси Тахиатош туманида "Тахиатош" метеорология станцияси янги биноси қурилиши</t>
  </si>
  <si>
    <t>Тошкент вилояти Олмалиқ шаҳрида 1 та 
ва Бекобод туманида 2 та атроф-муҳит ифлосланишини кузатиш постларини реконструкция қилиш</t>
  </si>
  <si>
    <t>Сурхондарё вилояти Сароссиё туманида 
2 та ва Денов туманида 1 та жами 3 та атроф-муҳит ифлосланишини кузатиш постларини реконструкция қилиш</t>
  </si>
  <si>
    <t>Тошкент вилояти Ангрен шаҳрида “Ангрен” гидрологик станцияси янги биноси қурилиши</t>
  </si>
  <si>
    <t>"ХХТК Хўжалик хисобидаги таъмирлаш" Корхонаси</t>
  </si>
  <si>
    <t>Бухоро вилояти Шофиркон туманида “Огитма” метеорологик станцияси янги биноси қурилиши</t>
  </si>
  <si>
    <t xml:space="preserve">"ABBOSABOD TA'MIR" МЧЖ </t>
  </si>
  <si>
    <t>Наманган вилояти Норин туманида “Учтепа” гидрологик постини янги биноси қурилиши</t>
  </si>
  <si>
    <t>"DEKO KLAS" МЧЖ</t>
  </si>
  <si>
    <t>"QALBAQ QURILIS" 
МЧЖ</t>
  </si>
  <si>
    <t xml:space="preserve">Ўлчов бирлиги </t>
  </si>
  <si>
    <t>2021 йил
учун
ажратилган
лимит
(млн.сўм)</t>
  </si>
  <si>
    <t>"OLMOS BUNYOD" МЧЖ</t>
  </si>
  <si>
    <t>Бажарилган ишлар далолатномасига асосан ўзлаштириш</t>
  </si>
  <si>
    <t>сумма</t>
  </si>
  <si>
    <t>%</t>
  </si>
  <si>
    <t>Объектнинг шартнома суммаси</t>
  </si>
  <si>
    <t>Пудрат ташкилот                                                       номи</t>
  </si>
  <si>
    <t>Ажратилган лимитга нисбатан молиялаштириш</t>
  </si>
  <si>
    <t>О ходе организационно-подготовительных работ на объектах Центра гидрометеорологической службы Республики Узбекистан
 ИНФОРМАЦИЯ</t>
  </si>
  <si>
    <t>Строительство нового здания метеорологической станции "Бустон" Респ. Каракалпакистан</t>
  </si>
  <si>
    <t>Строительство нового здания Аэрологической станции «Ташкент» Ташкентская обл.</t>
  </si>
  <si>
    <t>Строительство нового здания метеорологической станции «Тахиаташ» Респ. Каракалпакистан</t>
  </si>
  <si>
    <t>Строительство нового здания метеорологической станции «Кургантепа»
Андижанская обл.</t>
  </si>
  <si>
    <t>Строительство нового здания метеорологической станции «Аякагитма» 
Бухарская обл.</t>
  </si>
  <si>
    <t>Строительство нового административного здания Джизакского управления по гидрометеорологии</t>
  </si>
  <si>
    <t>Строительство нового здания метеорологической станции «Бахмал»
Жизахская обл.</t>
  </si>
  <si>
    <t>Строительство нового здания метеорологической станции «Янгикишлок» 
Жизахская обл.</t>
  </si>
  <si>
    <t>Строительство нового административного здания Кашкадаринского управления по гидрометеорологии</t>
  </si>
  <si>
    <t>Строительство нового здания метеорологической станции «Дехканабад» Кашкадарьинская обл.</t>
  </si>
  <si>
    <t>Строительство нового здания гидрологического поста «Учтепа» 
Наманганская обл.</t>
  </si>
  <si>
    <t>Строительство нового здания метеорологической станции «Томди»
Навоинская обл.</t>
  </si>
  <si>
    <t>Строительство нового здания метеорологической станции «Бузаубай» 
Навоинская обл.</t>
  </si>
  <si>
    <t>Строительство нового здания метеорологической станции «Шурчи» Сурхандарьинская обл.</t>
  </si>
  <si>
    <t>Строительство нового здания метеорологической станции «Сариосиё» Сурхандарьинская обл.</t>
  </si>
  <si>
    <t>Строительство нового здания агрометеорологической станции «Дагбит» Самаркандская обл.</t>
  </si>
  <si>
    <t>Строительство нового здания метеорологической станции «Олмалик» 
Ташкентская обл.</t>
  </si>
  <si>
    <t>Строительство нового здания метеорологической станции «Кукорол» 
Ташкентская обл.</t>
  </si>
  <si>
    <t>Строительство нового здания гидрологической станции Г-1 «Ангрен» 
Ташкентская обл.</t>
  </si>
  <si>
    <t xml:space="preserve">Строительство нового здания метеорологической станции «Шохимардон» Ферганская обл. </t>
  </si>
  <si>
    <t>Строительство нового административного здания Хорезмского управления по гидрометеорологии</t>
  </si>
  <si>
    <t>Строительство нового здания озерной станции «Туямуюн» Харезмская обл.</t>
  </si>
  <si>
    <t>Строительство нового здания озерной станции «Туябугуз» Ташкентская обл.</t>
  </si>
  <si>
    <t>Реконструкция по 4 постам наблюдения за загрязнением атмосферного воздуха Кашкадарьинской обл.</t>
  </si>
  <si>
    <t>Реконструкция по 3 постам наблюдения за загрязнением атмосферного воздуха Сурхандарьинской обл.</t>
  </si>
  <si>
    <t>Реконструкция по 3 постам наблюдения за загрязнением атмосферного воздуха Ташкентской обл.</t>
  </si>
  <si>
    <t>Реконструкция по 3 постам наблюдения за загрязнением атмосферного воздуха г. Ташкент</t>
  </si>
  <si>
    <t>Реконструкции</t>
  </si>
  <si>
    <t>Ферганская область</t>
  </si>
  <si>
    <t>Харезмская область</t>
  </si>
  <si>
    <t>Ўзбекистон Республикаси Гидрометеорология хизмати маркази объектлари бўйича ташкилий-тайёргарлик ишларининг бориши тўғрисида
 МАЪЛУМОТ</t>
  </si>
  <si>
    <t>Строительство нового административного здания Наманганского управления по гидрометеорологии</t>
  </si>
  <si>
    <t>Строительство нового здания гидрологической станции «Чиназ» Ташкентская обл.</t>
  </si>
  <si>
    <t>Строительство нового здания метеорологической станции «Кизил-Ровот» Бухарская обл.</t>
  </si>
  <si>
    <t xml:space="preserve">Наименование объекта строительства </t>
  </si>
  <si>
    <t>ИТОГО:</t>
  </si>
  <si>
    <t>в том числе</t>
  </si>
  <si>
    <t>Ед. изм.</t>
  </si>
  <si>
    <t>Лимит 2021 г.
(млн.сум)</t>
  </si>
  <si>
    <t>Договорная сумма объекта</t>
  </si>
  <si>
    <t>Ассимиляция по акту выполненных работ</t>
  </si>
  <si>
    <t>Финансирование относительно выделенного лимита</t>
  </si>
  <si>
    <t>Наименование подрядчика</t>
  </si>
  <si>
    <t xml:space="preserve">Переходящие объекты </t>
  </si>
  <si>
    <t>Новое строительство:</t>
  </si>
  <si>
    <t>Новое строительство</t>
  </si>
  <si>
    <t xml:space="preserve"> Республика Коракалпакстан </t>
  </si>
  <si>
    <t>Андижонская область</t>
  </si>
  <si>
    <t>Бухарская область</t>
  </si>
  <si>
    <t>Джиззакская область</t>
  </si>
  <si>
    <t>Кашкадарьинская область</t>
  </si>
  <si>
    <t>Наманганская область</t>
  </si>
  <si>
    <t>Наваинская область</t>
  </si>
  <si>
    <t>Сурхандарьинская область</t>
  </si>
  <si>
    <t>Самаркандская область</t>
  </si>
  <si>
    <t>Ташкентская область</t>
  </si>
  <si>
    <t>За проектно изыскательные работы</t>
  </si>
  <si>
    <t>Кредиторская задолженность по объектам 2020 года (5%)</t>
  </si>
  <si>
    <t>№</t>
  </si>
  <si>
    <t>“MAXSUS-TREST” МЧЖ</t>
  </si>
  <si>
    <t>O'zbekiston Respublikasi Gidrometeorologiya xizmati markazi ob'ektlari bo'yicha tashkiliy-tayyorgarlik ishlarining borishi to'g'risida
MA'LUMOT</t>
  </si>
  <si>
    <t>"OYBEK HAMROH" МЧЖ</t>
  </si>
  <si>
    <t>"SUVOKAVA" Х/K</t>
  </si>
  <si>
    <t>T/r</t>
  </si>
  <si>
    <t>Hududlar va ob'yektlar nomi</t>
  </si>
  <si>
    <t>O'lchov birligi</t>
  </si>
  <si>
    <t>2021 yil
uchun
ajratilgan
limit
(mln.so'm)</t>
  </si>
  <si>
    <t>Ob'yektning shartnoma summasi</t>
  </si>
  <si>
    <t>Bajarilgan ishlar dalolatnomasiga asosan o'zlashtirish</t>
  </si>
  <si>
    <t>summa</t>
  </si>
  <si>
    <t>Ajratilgan
limitga nisbatan moliyalashtirish</t>
  </si>
  <si>
    <t>Pudrat tashkilot nomi</t>
  </si>
  <si>
    <t>"NAMANGAN QURILISH" MCHJ</t>
  </si>
  <si>
    <t>"ISTIQBOL XXI ASR" MCHJ</t>
  </si>
  <si>
    <t>"SIDERIS QURILISH GROUP" MCHJ</t>
  </si>
  <si>
    <t>"JANDOS QURUVCHI" MCHJ</t>
  </si>
  <si>
    <t>"QALBAQ QURILIS" 
MCHJ</t>
  </si>
  <si>
    <t>"GIDROSPETSMONTAJ"
MCHJ</t>
  </si>
  <si>
    <t>"ABBOSABOD TA'MIR" MCHJ</t>
  </si>
  <si>
    <t>"20-TREST" MCHJ "QURILISH STANDART TA'MINOT SERVIS" SHK</t>
  </si>
  <si>
    <t>"ХУРШИД" MCHJ</t>
  </si>
  <si>
    <t>"OYBEK HAMROH" MCHJ</t>
  </si>
  <si>
    <t>"DEKO KLAS" MCHJ</t>
  </si>
  <si>
    <t>"MARUF QURILISH SERVIS" MCHJ</t>
  </si>
  <si>
    <t>"IMPERIAL STROY SERVICE" MCHJ</t>
  </si>
  <si>
    <t>"QURILISH TREST-014" MCHJ</t>
  </si>
  <si>
    <t>"IMPERIAL STROY 
SERVICE" MCHJ</t>
  </si>
  <si>
    <t>"OLMOS BUNYOD" MCHJ</t>
  </si>
  <si>
    <t>"OBOD GM SHAHAR QURILISH" MCHJ</t>
  </si>
  <si>
    <t>“MAXSUS-TREST” MCHJ</t>
  </si>
  <si>
    <t>JAMI:</t>
  </si>
  <si>
    <t>shu jumladan</t>
  </si>
  <si>
    <t>Avvalgi yillardan o'tuvchi ob'yektlar</t>
  </si>
  <si>
    <t>Namangan viloyati gidrometeorologiya boshqarmasi ma'muriy binosi qurilishi</t>
  </si>
  <si>
    <t>Toshkent viloyati</t>
  </si>
  <si>
    <t>Namangan viloyati</t>
  </si>
  <si>
    <t>Qashqadaryo viloyati</t>
  </si>
  <si>
    <t xml:space="preserve">"Toshkent" aerologiya stansiyasi yangi binosi qurilishi </t>
  </si>
  <si>
    <t xml:space="preserve">Toshkent viloyati Chinoz tumanida "Chinoz" gidrologik stansiyasi yangi binosi qurilishi </t>
  </si>
  <si>
    <t>Yangidan boshlanuvchi obyektlar:</t>
  </si>
  <si>
    <t>Yangi qurilish</t>
  </si>
  <si>
    <t>Qoraqalpog'iston Respublikasi</t>
  </si>
  <si>
    <t xml:space="preserve">Qoraqalpog'iston Respublikasi Bo'ston tumanida "Bo'ston" meteorologiya stansiyasi yangi binosi qurilishi </t>
  </si>
  <si>
    <t>Qoraqalpog'iston Respublikasi Taxiatosh tumanida "Taxiatosh" meteorologiya stansiyasi yangi binosi qurilishi</t>
  </si>
  <si>
    <t xml:space="preserve">Andijon viloyati Qo'rg'ontepa tumanida “Qo'rg'ontepa” meteorologiya stansiyasi yangi binosi qurilishi </t>
  </si>
  <si>
    <t>Andijon viloyati</t>
  </si>
  <si>
    <t xml:space="preserve">Buxoro viloyati </t>
  </si>
  <si>
    <t>Jizzax viloyati</t>
  </si>
  <si>
    <t xml:space="preserve">Jizzax viloyati Baxmal tumanida “Baxmal” meteorologiya stansiyasi yangi binosi qurilishi </t>
  </si>
  <si>
    <t xml:space="preserve">Jizzax viloyati Forish tumanida “Yangiqishloq” meteorologiya stansiyasi yangi binosi qurilishi </t>
  </si>
  <si>
    <t>Jizzax viloyati Jizzax shahrida Jizzax viloyati gidrometeorologiya boshqarmasi ma'muriy binosi qurilishi</t>
  </si>
  <si>
    <t xml:space="preserve">Qashqadaryo viloyati Qarshi shahrida  Qashqadaryo viloyati gidrometeorologiya boshqarmasi ma'muriy binosi qurilishi </t>
  </si>
  <si>
    <t xml:space="preserve">Qashqadaryo viloyati Dehqonobod tumanida  “Dehqonobod” meteorologiya stansiyasi yangi binosi qurilishi </t>
  </si>
  <si>
    <t xml:space="preserve">Namangan viloyati Norin tumanida “Uchtepa” gidrologik postini yangi binosini qulishi </t>
  </si>
  <si>
    <t>Navoiy вилояти</t>
  </si>
  <si>
    <t xml:space="preserve">Navoiy viloyati Tomdi tumanida “Tomdi” meteorologiya stansiyasi yangi binosi qurilishi </t>
  </si>
  <si>
    <t xml:space="preserve">Navoiy viloyati Uchquduq tumanida “Buzaubay” meteorologiya stansiyasi yangi binosi qurilishi </t>
  </si>
  <si>
    <t>Samarqand viloyati</t>
  </si>
  <si>
    <t xml:space="preserve">Buxoro viloyati Шофиркон tumanida “Огитма” meteorologiya stansiyasi yangi binosi qurilishi </t>
  </si>
  <si>
    <t>Surxondaryo viloyati</t>
  </si>
  <si>
    <t xml:space="preserve">Surxondaryo viloyati Sho'rchi tumanida “Sho'rchi” meteorologiya stansiyasi yangi binosi qurilishi </t>
  </si>
  <si>
    <t xml:space="preserve">Surxondaryo viloyati Sariossiyo tumanida “Sariossiyo” meteorologiya stansiyasi yangi binosi qurilishi </t>
  </si>
  <si>
    <t xml:space="preserve">Samarqand viloyati Oqdaryo tumanida “Dag'bit” агроmeteorologiya stansiyasi yangi binosi qurilishi </t>
  </si>
  <si>
    <t xml:space="preserve">Toshkent viloyati Olmaliq shahrida “Olmaliq” meteorologiya stansiyasi yangi binosi qurilishi </t>
  </si>
  <si>
    <t xml:space="preserve">Toshkent viloyati Bo'ka tumanida “Ko'orol” meteorologiya stansiyasi yangi binosi qurilishi </t>
  </si>
  <si>
    <t>Toshkent viloyati Angren shahrida “Angren” gidrologik stansiya yangi binosini qurilishi</t>
  </si>
  <si>
    <t>Toshkent viloyati O'rta Chirchiq tumanida “Tuyabug'uz” ko'l stansiyasi yangi binosi qurilishi</t>
  </si>
  <si>
    <t>Farg'ona viloyati</t>
  </si>
  <si>
    <t xml:space="preserve">Farg'ona viloyati Farg'ona  tumanida “Shoximardon” meteorologiya stansiyasi yangi binosi qurilishi </t>
  </si>
  <si>
    <t>Xorazm viloyati</t>
  </si>
  <si>
    <t>Xorazm viloyati Питнак шаҳрида “Туямуюн” кўл stansiyasi yangi binosi qurilishi</t>
  </si>
  <si>
    <t xml:space="preserve">Rekonstruksiya </t>
  </si>
  <si>
    <t>Qashqadaryo viloyati Shaxrisabz tumanida 3 ta va Kitob tumanida 1 tа jami 4 tа atrof-muhit ifloslanishini kuzatish postlarini rekonstruksiya qilish</t>
  </si>
  <si>
    <t xml:space="preserve">Buxoro viloyati Ромиtaн tumanida “Қизил-Ровот” meteorologiya stansiyasi yangi binosi qurilishi </t>
  </si>
  <si>
    <t>"ХХТК Хўжалик хисобидаги taъмирлаш" Корхонаси</t>
  </si>
  <si>
    <t>"taЪМИРЧИ АГРОКУРИЛИШ" MCHJ</t>
  </si>
  <si>
    <t>"САРИОСИЁ КАПИtaЛ ИНВЕСТ" ИТКК</t>
  </si>
  <si>
    <t>"САРИОСИЁ КАПИtaЛ
ИНВЕСТ" ИТКК</t>
  </si>
  <si>
    <t>Xorazm viloyati Хиva шаҳрида Xorazm viloyati gidrometeorologiya boshqarmasi ma'muriy binosi qurilishi</t>
  </si>
  <si>
    <t>Surxondaryo viloyati Sariossiyo tumanida 
2 ta va Denov tumanida 1 ta jami 3 ta atrof-muhit ifloslanishini kuzatish postlarini rekonstruksiya qilish</t>
  </si>
  <si>
    <t>Toshkent viloyati Olmaliq shahrida 1 ta 
va Bekabod tumanida 2 ta atrof-muhit ifloslanishini kuzatish postlarini rekonstruksiya qilish</t>
  </si>
  <si>
    <t>Toshkent shahri (Yashnobod, Mirobod, Olmazor tumanlari) 3 ta atrof-muhit ifloslanishini kuzatish postlarini rekonstruksiya qilish</t>
  </si>
  <si>
    <t>Loyiha-qidiruv ishlari uchun</t>
  </si>
  <si>
    <t>Kreditor qarzdorlik 2020 yil obyektlari 
uchun (5%)</t>
  </si>
  <si>
    <t xml:space="preserve">mln.so'mda (2021 yil 30 dekаbr holatiga) </t>
  </si>
  <si>
    <t xml:space="preserve">на млн.сум (на 30 декабря 2021 года) </t>
  </si>
  <si>
    <t xml:space="preserve">млн.сўмда (2021 йил 30 декабрь ҳолатига)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</si>
</sst>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сўм&quot;;\-#,##0\ &quot;сўм&quot;"/>
    <numFmt numFmtId="167" formatCode="#,##0\ &quot;сўм&quot;;[Red]\-#,##0\ &quot;сўм&quot;"/>
    <numFmt numFmtId="168" formatCode="#,##0.00\ &quot;сўм&quot;;\-#,##0.00\ &quot;сўм&quot;"/>
    <numFmt numFmtId="169" formatCode="#,##0.00\ &quot;сўм&quot;;[Red]\-#,##0.00\ &quot;сўм&quot;"/>
    <numFmt numFmtId="170" formatCode="_-* #,##0\ &quot;сўм&quot;_-;\-* #,##0\ &quot;сўм&quot;_-;_-* &quot;-&quot;\ &quot;сўм&quot;_-;_-@_-"/>
    <numFmt numFmtId="171" formatCode="_-* #,##0\ _с_ў_м_-;\-* #,##0\ _с_ў_м_-;_-* &quot;-&quot;\ _с_ў_м_-;_-@_-"/>
    <numFmt numFmtId="172" formatCode="_-* #,##0.00\ &quot;сўм&quot;_-;\-* #,##0.00\ &quot;сўм&quot;_-;_-* &quot;-&quot;??\ &quot;сўм&quot;_-;_-@_-"/>
    <numFmt numFmtId="173" formatCode="_-* #,##0.00\ _с_ў_м_-;\-* #,##0.00\ _с_ў_м_-;_-* &quot;-&quot;??\ _с_ў_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0"/>
    <numFmt numFmtId="183" formatCode="0.000"/>
    <numFmt numFmtId="184" formatCode="0.000000"/>
    <numFmt numFmtId="185" formatCode="#,##0.0"/>
    <numFmt numFmtId="186" formatCode="0.000000000"/>
    <numFmt numFmtId="187" formatCode="0.00000000"/>
    <numFmt numFmtId="188" formatCode="0.0000000"/>
    <numFmt numFmtId="189" formatCode="0.00000"/>
    <numFmt numFmtId="190" formatCode="0.0000"/>
    <numFmt numFmtId="191" formatCode="0.0"/>
    <numFmt numFmtId="192" formatCode="#,##0_ ;\-#,##0\ "/>
    <numFmt numFmtId="193" formatCode="#,##0.000000"/>
    <numFmt numFmtId="194" formatCode="#,##0.00000000"/>
    <numFmt numFmtId="195" formatCode="0.0%"/>
    <numFmt numFmtId="196" formatCode="0.000%"/>
    <numFmt numFmtId="197" formatCode="#,##0.0000"/>
    <numFmt numFmtId="198" formatCode="#,##0.00000"/>
    <numFmt numFmtId="199" formatCode="#,##0.0000000"/>
    <numFmt numFmtId="200" formatCode="#,##0.000000000"/>
    <numFmt numFmtId="201" formatCode="#,##0.0000000000"/>
    <numFmt numFmtId="202" formatCode="#,##0.000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2" fillId="0" borderId="0" xfId="0" applyFont="1" applyFill="1" applyAlignment="1">
      <alignment/>
    </xf>
    <xf numFmtId="182" fontId="2" fillId="33" borderId="10" xfId="52" applyNumberFormat="1" applyFont="1" applyFill="1" applyBorder="1" applyAlignment="1">
      <alignment horizontal="center" vertical="center"/>
      <protection/>
    </xf>
    <xf numFmtId="182" fontId="4" fillId="33" borderId="10" xfId="52" applyNumberFormat="1" applyFont="1" applyFill="1" applyBorder="1" applyAlignment="1">
      <alignment horizontal="center" vertical="center"/>
      <protection/>
    </xf>
    <xf numFmtId="184" fontId="4" fillId="33" borderId="10" xfId="52" applyNumberFormat="1" applyFont="1" applyFill="1" applyBorder="1" applyAlignment="1">
      <alignment horizontal="center" vertical="center"/>
      <protection/>
    </xf>
    <xf numFmtId="183" fontId="46" fillId="33" borderId="10" xfId="52" applyNumberFormat="1" applyFont="1" applyFill="1" applyBorder="1" applyAlignment="1">
      <alignment horizontal="center" vertical="center"/>
      <protection/>
    </xf>
    <xf numFmtId="10" fontId="46" fillId="33" borderId="10" xfId="52" applyNumberFormat="1" applyFont="1" applyFill="1" applyBorder="1" applyAlignment="1">
      <alignment horizontal="center" vertical="center"/>
      <protection/>
    </xf>
    <xf numFmtId="10" fontId="47" fillId="33" borderId="10" xfId="52" applyNumberFormat="1" applyFont="1" applyFill="1" applyBorder="1" applyAlignment="1">
      <alignment horizontal="center" vertical="center"/>
      <protection/>
    </xf>
    <xf numFmtId="0" fontId="45" fillId="33" borderId="0" xfId="0" applyFont="1" applyFill="1" applyAlignment="1">
      <alignment/>
    </xf>
    <xf numFmtId="0" fontId="47" fillId="33" borderId="11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4" fontId="45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" fillId="33" borderId="10" xfId="53" applyFont="1" applyFill="1" applyBorder="1" applyAlignment="1">
      <alignment vertical="center" wrapText="1"/>
      <protection/>
    </xf>
    <xf numFmtId="3" fontId="46" fillId="33" borderId="10" xfId="0" applyNumberFormat="1" applyFont="1" applyFill="1" applyBorder="1" applyAlignment="1">
      <alignment horizontal="center" vertical="center"/>
    </xf>
    <xf numFmtId="182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5" fillId="33" borderId="10" xfId="53" applyFont="1" applyFill="1" applyBorder="1" applyAlignment="1">
      <alignment vertical="center" wrapText="1"/>
      <protection/>
    </xf>
    <xf numFmtId="182" fontId="46" fillId="33" borderId="10" xfId="52" applyNumberFormat="1" applyFont="1" applyFill="1" applyBorder="1" applyAlignment="1">
      <alignment horizontal="center" vertical="center"/>
      <protection/>
    </xf>
    <xf numFmtId="0" fontId="45" fillId="33" borderId="10" xfId="0" applyFont="1" applyFill="1" applyBorder="1" applyAlignment="1">
      <alignment horizontal="center" vertical="center"/>
    </xf>
    <xf numFmtId="0" fontId="2" fillId="33" borderId="10" xfId="53" applyFont="1" applyFill="1" applyBorder="1" applyAlignment="1">
      <alignment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 vertical="center"/>
    </xf>
    <xf numFmtId="10" fontId="45" fillId="33" borderId="10" xfId="52" applyNumberFormat="1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18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6" fillId="33" borderId="10" xfId="53" applyFont="1" applyFill="1" applyBorder="1" applyAlignment="1">
      <alignment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182" fontId="6" fillId="33" borderId="10" xfId="0" applyNumberFormat="1" applyFont="1" applyFill="1" applyBorder="1" applyAlignment="1">
      <alignment horizontal="center" vertical="center"/>
    </xf>
    <xf numFmtId="182" fontId="6" fillId="33" borderId="10" xfId="52" applyNumberFormat="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 vertical="center"/>
    </xf>
    <xf numFmtId="4" fontId="4" fillId="33" borderId="10" xfId="52" applyNumberFormat="1" applyFont="1" applyFill="1" applyBorder="1" applyAlignment="1">
      <alignment horizontal="center" vertical="center"/>
      <protection/>
    </xf>
    <xf numFmtId="4" fontId="4" fillId="33" borderId="10" xfId="0" applyNumberFormat="1" applyFont="1" applyFill="1" applyBorder="1" applyAlignment="1">
      <alignment horizontal="center" vertical="center"/>
    </xf>
    <xf numFmtId="182" fontId="2" fillId="33" borderId="10" xfId="52" applyNumberFormat="1" applyFont="1" applyFill="1" applyBorder="1" applyAlignment="1">
      <alignment horizontal="center" vertical="center" wrapText="1"/>
      <protection/>
    </xf>
    <xf numFmtId="182" fontId="45" fillId="33" borderId="10" xfId="0" applyNumberFormat="1" applyFont="1" applyFill="1" applyBorder="1" applyAlignment="1">
      <alignment horizontal="center" vertical="center"/>
    </xf>
    <xf numFmtId="182" fontId="45" fillId="33" borderId="10" xfId="52" applyNumberFormat="1" applyFont="1" applyFill="1" applyBorder="1" applyAlignment="1">
      <alignment horizontal="center" vertical="center"/>
      <protection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183" fontId="46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/>
    </xf>
    <xf numFmtId="184" fontId="4" fillId="33" borderId="10" xfId="0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10" fontId="2" fillId="33" borderId="10" xfId="52" applyNumberFormat="1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9" fillId="33" borderId="11" xfId="0" applyFont="1" applyFill="1" applyBorder="1" applyAlignment="1">
      <alignment horizontal="right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top" wrapText="1"/>
    </xf>
    <xf numFmtId="0" fontId="46" fillId="33" borderId="16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3 3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vshan.yunusov\Downloads\Telegram%20Desktop\&#1057;&#1090;&#1088;&#1086;&#1081;%202019-2020\&#1040;&#1076;&#1088;&#1077;&#1089;&#1085;&#1086;&#1081;%20&#1089;&#1087;&#1080;&#1089;&#1086;&#1082;%20&#1089;&#1090;&#1088;.%20&#1085;&#1072;%202021&#1075;\&#1052;&#1080;&#1085;&#1101;&#1082;&#1086;&#1085;&#1086;&#1084;&#1080;&#1082;&#1072;\1,2,3,4_&#1096;&#1072;&#1082;&#1083;&#1083;&#1072;&#1088;_&#1059;&#1079;&#1075;&#1080;&#1076;&#1088;&#1086;&#1084;&#1077;&#1090;_2021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шакл (2)"/>
      <sheetName val="2-шакл"/>
      <sheetName val="3-шакл"/>
      <sheetName val="4-шакл"/>
    </sheetNames>
    <sheetDataSet>
      <sheetData sheetId="1">
        <row r="20">
          <cell r="A20">
            <v>1</v>
          </cell>
        </row>
        <row r="21">
          <cell r="A21">
            <v>2</v>
          </cell>
        </row>
        <row r="22">
          <cell r="A22">
            <v>3</v>
          </cell>
        </row>
        <row r="23">
          <cell r="A23">
            <v>4</v>
          </cell>
        </row>
        <row r="24">
          <cell r="A24">
            <v>5</v>
          </cell>
        </row>
        <row r="25">
          <cell r="A25">
            <v>6</v>
          </cell>
        </row>
        <row r="26">
          <cell r="A26">
            <v>7</v>
          </cell>
        </row>
        <row r="27">
          <cell r="A27">
            <v>8</v>
          </cell>
        </row>
        <row r="28">
          <cell r="A28">
            <v>9</v>
          </cell>
        </row>
        <row r="29">
          <cell r="A29">
            <v>10</v>
          </cell>
        </row>
        <row r="30">
          <cell r="A30">
            <v>11</v>
          </cell>
        </row>
        <row r="31">
          <cell r="A31">
            <v>12</v>
          </cell>
        </row>
        <row r="32">
          <cell r="A32">
            <v>13</v>
          </cell>
        </row>
        <row r="33">
          <cell r="A33">
            <v>14</v>
          </cell>
        </row>
        <row r="34">
          <cell r="A34">
            <v>15</v>
          </cell>
        </row>
        <row r="35">
          <cell r="A35">
            <v>16</v>
          </cell>
        </row>
        <row r="36">
          <cell r="A36">
            <v>17</v>
          </cell>
        </row>
        <row r="37">
          <cell r="A37">
            <v>18</v>
          </cell>
        </row>
        <row r="38">
          <cell r="A38">
            <v>19</v>
          </cell>
        </row>
        <row r="39">
          <cell r="A39">
            <v>20</v>
          </cell>
        </row>
        <row r="40">
          <cell r="A40">
            <v>21</v>
          </cell>
        </row>
        <row r="41">
          <cell r="A41">
            <v>22</v>
          </cell>
        </row>
        <row r="42">
          <cell r="A42">
            <v>23</v>
          </cell>
        </row>
        <row r="44">
          <cell r="A44">
            <v>24</v>
          </cell>
        </row>
        <row r="45">
          <cell r="A45">
            <v>25</v>
          </cell>
        </row>
        <row r="46">
          <cell r="A46">
            <v>26</v>
          </cell>
        </row>
        <row r="47">
          <cell r="A47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BreakPreview" zoomScale="85" zoomScaleSheetLayoutView="85" zoomScalePageLayoutView="0" workbookViewId="0" topLeftCell="A1">
      <selection activeCell="H3" sqref="H3:I3"/>
    </sheetView>
  </sheetViews>
  <sheetFormatPr defaultColWidth="9.140625" defaultRowHeight="15"/>
  <cols>
    <col min="1" max="1" width="5.57421875" style="1" customWidth="1"/>
    <col min="2" max="2" width="43.7109375" style="1" customWidth="1"/>
    <col min="3" max="3" width="11.140625" style="1" customWidth="1"/>
    <col min="4" max="5" width="19.28125" style="1" customWidth="1"/>
    <col min="6" max="6" width="16.140625" style="3" customWidth="1"/>
    <col min="7" max="7" width="13.28125" style="3" customWidth="1"/>
    <col min="8" max="8" width="16.421875" style="3" customWidth="1"/>
    <col min="9" max="9" width="13.00390625" style="3" customWidth="1"/>
    <col min="10" max="10" width="28.7109375" style="1" customWidth="1"/>
    <col min="11" max="16384" width="9.140625" style="1" customWidth="1"/>
  </cols>
  <sheetData>
    <row r="1" spans="1:10" ht="52.5" customHeight="1">
      <c r="A1" s="54" t="s">
        <v>113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3.5" customHeight="1">
      <c r="A2" s="10"/>
      <c r="B2" s="11"/>
      <c r="C2" s="12"/>
      <c r="D2" s="13"/>
      <c r="E2" s="13"/>
      <c r="F2" s="14"/>
      <c r="G2" s="14"/>
      <c r="H2" s="55" t="s">
        <v>229</v>
      </c>
      <c r="I2" s="55"/>
      <c r="J2" s="55"/>
    </row>
    <row r="3" spans="1:10" s="2" customFormat="1" ht="51" customHeight="1">
      <c r="A3" s="56" t="s">
        <v>25</v>
      </c>
      <c r="B3" s="57" t="s">
        <v>0</v>
      </c>
      <c r="C3" s="57" t="s">
        <v>73</v>
      </c>
      <c r="D3" s="57" t="s">
        <v>74</v>
      </c>
      <c r="E3" s="58" t="s">
        <v>79</v>
      </c>
      <c r="F3" s="61" t="s">
        <v>76</v>
      </c>
      <c r="G3" s="62"/>
      <c r="H3" s="61" t="s">
        <v>81</v>
      </c>
      <c r="I3" s="62"/>
      <c r="J3" s="58" t="s">
        <v>80</v>
      </c>
    </row>
    <row r="4" spans="1:10" s="2" customFormat="1" ht="15" customHeight="1">
      <c r="A4" s="56"/>
      <c r="B4" s="57"/>
      <c r="C4" s="57"/>
      <c r="D4" s="57"/>
      <c r="E4" s="59"/>
      <c r="F4" s="53" t="s">
        <v>77</v>
      </c>
      <c r="G4" s="53" t="s">
        <v>78</v>
      </c>
      <c r="H4" s="53" t="s">
        <v>77</v>
      </c>
      <c r="I4" s="53" t="s">
        <v>78</v>
      </c>
      <c r="J4" s="59"/>
    </row>
    <row r="5" spans="1:10" s="2" customFormat="1" ht="15" customHeight="1">
      <c r="A5" s="56"/>
      <c r="B5" s="57"/>
      <c r="C5" s="57"/>
      <c r="D5" s="57"/>
      <c r="E5" s="60"/>
      <c r="F5" s="53"/>
      <c r="G5" s="53"/>
      <c r="H5" s="53"/>
      <c r="I5" s="53"/>
      <c r="J5" s="60"/>
    </row>
    <row r="6" spans="1:10" s="47" customFormat="1" ht="29.25" customHeight="1">
      <c r="A6" s="15"/>
      <c r="B6" s="16" t="s">
        <v>27</v>
      </c>
      <c r="C6" s="17">
        <f>+C8+C12+C54+C55</f>
        <v>30</v>
      </c>
      <c r="D6" s="18">
        <f>+D8+D12+D54+D55</f>
        <v>10999.999977834499</v>
      </c>
      <c r="E6" s="18">
        <f>+E8+E12+E54+E55</f>
        <v>13212.517700999999</v>
      </c>
      <c r="F6" s="18">
        <f>+F8+F12+F54+F55</f>
        <v>11516.834537000002</v>
      </c>
      <c r="G6" s="8">
        <f>+F6/E6*100%</f>
        <v>0.8716608596201421</v>
      </c>
      <c r="H6" s="18">
        <f>+H8+H12+H54+H55</f>
        <v>10461.717201354999</v>
      </c>
      <c r="I6" s="8">
        <f>+H6/D6*100%</f>
        <v>0.9510652020396214</v>
      </c>
      <c r="J6" s="19"/>
    </row>
    <row r="7" spans="1:10" s="47" customFormat="1" ht="15.75">
      <c r="A7" s="15"/>
      <c r="B7" s="20" t="s">
        <v>1</v>
      </c>
      <c r="C7" s="19"/>
      <c r="D7" s="18"/>
      <c r="E7" s="18"/>
      <c r="F7" s="21"/>
      <c r="G7" s="8"/>
      <c r="H7" s="18"/>
      <c r="I7" s="18"/>
      <c r="J7" s="19"/>
    </row>
    <row r="8" spans="1:10" s="47" customFormat="1" ht="24" customHeight="1">
      <c r="A8" s="15"/>
      <c r="B8" s="16" t="s">
        <v>2</v>
      </c>
      <c r="C8" s="17">
        <f>SUM(C9:C11)</f>
        <v>3</v>
      </c>
      <c r="D8" s="18">
        <f>SUM(D9:D11)</f>
        <v>1381.8950840000002</v>
      </c>
      <c r="E8" s="21">
        <f>SUM(E9:E11)</f>
        <v>2042.288867</v>
      </c>
      <c r="F8" s="21">
        <f>SUM(F9:F11)</f>
        <v>2026.637758</v>
      </c>
      <c r="G8" s="8">
        <f>+F8/E8*100%</f>
        <v>0.9923364861587918</v>
      </c>
      <c r="H8" s="21">
        <f>SUM(H9:H11)</f>
        <v>1357.72206245</v>
      </c>
      <c r="I8" s="8">
        <f aca="true" t="shared" si="0" ref="I8:I13">+H8/D8*100%</f>
        <v>0.982507339500746</v>
      </c>
      <c r="J8" s="51"/>
    </row>
    <row r="9" spans="1:10" s="10" customFormat="1" ht="48" customHeight="1">
      <c r="A9" s="22">
        <v>1</v>
      </c>
      <c r="B9" s="23" t="s">
        <v>3</v>
      </c>
      <c r="C9" s="24">
        <v>1</v>
      </c>
      <c r="D9" s="25">
        <v>973.5983</v>
      </c>
      <c r="E9" s="4">
        <v>1208.247854</v>
      </c>
      <c r="F9" s="4">
        <v>1192.596745</v>
      </c>
      <c r="G9" s="52">
        <f>+F9/E9*100%</f>
        <v>0.9870464417145988</v>
      </c>
      <c r="H9" s="25">
        <f>181.2371781+236.20433525+119.08468585+387.87259485+32.0262683</f>
        <v>956.4250623500001</v>
      </c>
      <c r="I9" s="52">
        <f t="shared" si="0"/>
        <v>0.9823610644657043</v>
      </c>
      <c r="J9" s="24" t="s">
        <v>10</v>
      </c>
    </row>
    <row r="10" spans="1:10" s="10" customFormat="1" ht="48" customHeight="1">
      <c r="A10" s="22">
        <v>2</v>
      </c>
      <c r="B10" s="23" t="s">
        <v>4</v>
      </c>
      <c r="C10" s="24">
        <v>1</v>
      </c>
      <c r="D10" s="25">
        <v>375</v>
      </c>
      <c r="E10" s="4">
        <v>460</v>
      </c>
      <c r="F10" s="4">
        <v>460</v>
      </c>
      <c r="G10" s="26">
        <f>+F10/E10*100%</f>
        <v>1</v>
      </c>
      <c r="H10" s="25">
        <f>338.622851+29.3771491</f>
        <v>368.0000001</v>
      </c>
      <c r="I10" s="26">
        <v>1</v>
      </c>
      <c r="J10" s="24" t="s">
        <v>12</v>
      </c>
    </row>
    <row r="11" spans="1:10" s="14" customFormat="1" ht="51" customHeight="1">
      <c r="A11" s="27">
        <v>3</v>
      </c>
      <c r="B11" s="23" t="s">
        <v>5</v>
      </c>
      <c r="C11" s="24">
        <v>1</v>
      </c>
      <c r="D11" s="25">
        <v>33.296784</v>
      </c>
      <c r="E11" s="4">
        <v>374.041013</v>
      </c>
      <c r="F11" s="4">
        <v>374.041013</v>
      </c>
      <c r="G11" s="26">
        <f>+F11/E11*100%</f>
        <v>1</v>
      </c>
      <c r="H11" s="25">
        <v>33.297</v>
      </c>
      <c r="I11" s="26">
        <f t="shared" si="0"/>
        <v>1.0000064871129895</v>
      </c>
      <c r="J11" s="24" t="s">
        <v>11</v>
      </c>
    </row>
    <row r="12" spans="1:10" s="47" customFormat="1" ht="24" customHeight="1">
      <c r="A12" s="19"/>
      <c r="B12" s="16" t="s">
        <v>26</v>
      </c>
      <c r="C12" s="28">
        <f>+C13+C49</f>
        <v>27</v>
      </c>
      <c r="D12" s="29">
        <f>+D13+D49</f>
        <v>9280.26940645</v>
      </c>
      <c r="E12" s="29">
        <f>+E13+E49+E54</f>
        <v>11170.228834</v>
      </c>
      <c r="F12" s="29">
        <f>+F13+F49</f>
        <v>9408.971707000002</v>
      </c>
      <c r="G12" s="8">
        <f>+F12/D12*100%</f>
        <v>1.0138683797757586</v>
      </c>
      <c r="H12" s="29">
        <f>+H13+H49</f>
        <v>9022.770066905</v>
      </c>
      <c r="I12" s="8">
        <f t="shared" si="0"/>
        <v>0.972253031860688</v>
      </c>
      <c r="J12" s="30"/>
    </row>
    <row r="13" spans="1:10" s="48" customFormat="1" ht="21" customHeight="1">
      <c r="A13" s="31"/>
      <c r="B13" s="32" t="s">
        <v>6</v>
      </c>
      <c r="C13" s="33">
        <f>SUM(C15:C48)</f>
        <v>23</v>
      </c>
      <c r="D13" s="34">
        <f>SUM(D15:D48)</f>
        <v>8990.4693422</v>
      </c>
      <c r="E13" s="35">
        <f>SUM(E15:E48)</f>
        <v>10875.27692</v>
      </c>
      <c r="F13" s="35">
        <f>SUM(F15:F48)</f>
        <v>9114.019794000002</v>
      </c>
      <c r="G13" s="9">
        <f>+F13/D13*100%</f>
        <v>1.013742380636356</v>
      </c>
      <c r="H13" s="35">
        <f>SUM(H15:H48)</f>
        <v>8742.566283995</v>
      </c>
      <c r="I13" s="9">
        <f t="shared" si="0"/>
        <v>0.9724260159543198</v>
      </c>
      <c r="J13" s="36"/>
    </row>
    <row r="14" spans="1:10" s="47" customFormat="1" ht="24" customHeight="1">
      <c r="A14" s="19"/>
      <c r="B14" s="16" t="s">
        <v>13</v>
      </c>
      <c r="C14" s="30"/>
      <c r="D14" s="29"/>
      <c r="E14" s="5"/>
      <c r="F14" s="5"/>
      <c r="G14" s="37"/>
      <c r="H14" s="29"/>
      <c r="I14" s="38"/>
      <c r="J14" s="30"/>
    </row>
    <row r="15" spans="1:10" s="10" customFormat="1" ht="51" customHeight="1">
      <c r="A15" s="22">
        <f>+'[1]2-шакл'!A20</f>
        <v>1</v>
      </c>
      <c r="B15" s="23" t="s">
        <v>62</v>
      </c>
      <c r="C15" s="27">
        <v>1</v>
      </c>
      <c r="D15" s="25">
        <v>324.533477</v>
      </c>
      <c r="E15" s="4">
        <v>335.719449</v>
      </c>
      <c r="F15" s="4">
        <v>335.719449</v>
      </c>
      <c r="G15" s="26">
        <f>+F15/E15*100%</f>
        <v>1</v>
      </c>
      <c r="H15" s="25">
        <f>293.38611975+20.50979328+5.03708697</f>
        <v>318.933</v>
      </c>
      <c r="I15" s="26">
        <v>1</v>
      </c>
      <c r="J15" s="24" t="s">
        <v>28</v>
      </c>
    </row>
    <row r="16" spans="1:10" s="10" customFormat="1" ht="51" customHeight="1">
      <c r="A16" s="22">
        <f>+'[1]2-шакл'!A21</f>
        <v>2</v>
      </c>
      <c r="B16" s="23" t="s">
        <v>63</v>
      </c>
      <c r="C16" s="27">
        <v>1</v>
      </c>
      <c r="D16" s="25">
        <v>326.689343</v>
      </c>
      <c r="E16" s="4">
        <v>337.988308</v>
      </c>
      <c r="F16" s="4">
        <v>337.988308</v>
      </c>
      <c r="G16" s="26">
        <f>+F16/E16*100%</f>
        <v>1</v>
      </c>
      <c r="H16" s="25">
        <f>306.14539689+8.9660979+5.97739827</f>
        <v>321.08889306</v>
      </c>
      <c r="I16" s="26">
        <v>1</v>
      </c>
      <c r="J16" s="24" t="s">
        <v>72</v>
      </c>
    </row>
    <row r="17" spans="1:10" s="47" customFormat="1" ht="24" customHeight="1">
      <c r="A17" s="19"/>
      <c r="B17" s="16" t="s">
        <v>14</v>
      </c>
      <c r="C17" s="30"/>
      <c r="D17" s="29"/>
      <c r="E17" s="5"/>
      <c r="F17" s="5"/>
      <c r="G17" s="5"/>
      <c r="H17" s="25"/>
      <c r="I17" s="29"/>
      <c r="J17" s="30"/>
    </row>
    <row r="18" spans="1:10" s="10" customFormat="1" ht="51" customHeight="1">
      <c r="A18" s="22">
        <f>+'[1]2-шакл'!A22</f>
        <v>3</v>
      </c>
      <c r="B18" s="23" t="s">
        <v>61</v>
      </c>
      <c r="C18" s="27">
        <v>1</v>
      </c>
      <c r="D18" s="25">
        <v>377.006309</v>
      </c>
      <c r="E18" s="4">
        <v>383.585588</v>
      </c>
      <c r="F18" s="4">
        <v>383.585588</v>
      </c>
      <c r="G18" s="26">
        <f>+F18/E18*100%</f>
        <v>1</v>
      </c>
      <c r="H18" s="25">
        <f>115.0756764+241.65892044+7.67140316</f>
        <v>364.406</v>
      </c>
      <c r="I18" s="26">
        <v>1</v>
      </c>
      <c r="J18" s="24" t="s">
        <v>29</v>
      </c>
    </row>
    <row r="19" spans="1:10" s="47" customFormat="1" ht="24" customHeight="1">
      <c r="A19" s="19"/>
      <c r="B19" s="16" t="s">
        <v>15</v>
      </c>
      <c r="C19" s="30"/>
      <c r="D19" s="29"/>
      <c r="E19" s="5"/>
      <c r="F19" s="5"/>
      <c r="G19" s="5"/>
      <c r="H19" s="25"/>
      <c r="I19" s="29"/>
      <c r="J19" s="30"/>
    </row>
    <row r="20" spans="1:10" s="14" customFormat="1" ht="51" customHeight="1">
      <c r="A20" s="27">
        <f>+'[1]2-шакл'!A23</f>
        <v>4</v>
      </c>
      <c r="B20" s="23" t="s">
        <v>68</v>
      </c>
      <c r="C20" s="27">
        <v>1</v>
      </c>
      <c r="D20" s="25">
        <v>396.4986638</v>
      </c>
      <c r="E20" s="4">
        <v>405.682804</v>
      </c>
      <c r="F20" s="4">
        <v>404.057165</v>
      </c>
      <c r="G20" s="26">
        <f>+F20/E20*100%</f>
        <v>0.9959928323705829</v>
      </c>
      <c r="H20" s="25">
        <f>221.7048412+39.131444+85.01098385+39.55139475</f>
        <v>385.3986638</v>
      </c>
      <c r="I20" s="26">
        <v>1</v>
      </c>
      <c r="J20" s="24" t="s">
        <v>69</v>
      </c>
    </row>
    <row r="21" spans="1:10" s="14" customFormat="1" ht="51" customHeight="1">
      <c r="A21" s="27">
        <f>+'[1]2-шакл'!A24</f>
        <v>5</v>
      </c>
      <c r="B21" s="23" t="s">
        <v>60</v>
      </c>
      <c r="C21" s="27">
        <v>1</v>
      </c>
      <c r="D21" s="25">
        <v>402.401508</v>
      </c>
      <c r="E21" s="4">
        <v>411.896851</v>
      </c>
      <c r="F21" s="4">
        <v>410.60609</v>
      </c>
      <c r="G21" s="26">
        <f>+F21/E21*100%</f>
        <v>0.9968663003932505</v>
      </c>
      <c r="H21" s="25">
        <f>123.5690553+229.2905654+34.710825+3.7315543</f>
        <v>391.302</v>
      </c>
      <c r="I21" s="26">
        <v>1</v>
      </c>
      <c r="J21" s="24" t="s">
        <v>41</v>
      </c>
    </row>
    <row r="22" spans="1:10" s="47" customFormat="1" ht="24" customHeight="1">
      <c r="A22" s="19"/>
      <c r="B22" s="16" t="s">
        <v>16</v>
      </c>
      <c r="C22" s="30"/>
      <c r="D22" s="29"/>
      <c r="E22" s="5"/>
      <c r="F22" s="5"/>
      <c r="G22" s="5"/>
      <c r="H22" s="25"/>
      <c r="I22" s="29"/>
      <c r="J22" s="30"/>
    </row>
    <row r="23" spans="1:10" s="10" customFormat="1" ht="51" customHeight="1">
      <c r="A23" s="22">
        <f>+'[1]2-шакл'!A25</f>
        <v>6</v>
      </c>
      <c r="B23" s="23" t="s">
        <v>57</v>
      </c>
      <c r="C23" s="27">
        <v>1</v>
      </c>
      <c r="D23" s="25">
        <v>312.3884182</v>
      </c>
      <c r="E23" s="4">
        <v>315.566756</v>
      </c>
      <c r="F23" s="4">
        <v>315.566756</v>
      </c>
      <c r="G23" s="26">
        <f>+F23/E23*100%</f>
        <v>1</v>
      </c>
      <c r="H23" s="25">
        <f>194.82120648+35.47020947+64.151079+5.34550505</f>
        <v>299.78799999999995</v>
      </c>
      <c r="I23" s="26">
        <v>1</v>
      </c>
      <c r="J23" s="24" t="s">
        <v>40</v>
      </c>
    </row>
    <row r="24" spans="1:10" s="10" customFormat="1" ht="51" customHeight="1">
      <c r="A24" s="22">
        <f>+'[1]2-шакл'!A26</f>
        <v>7</v>
      </c>
      <c r="B24" s="23" t="s">
        <v>58</v>
      </c>
      <c r="C24" s="27">
        <v>1</v>
      </c>
      <c r="D24" s="25">
        <v>294.1175185</v>
      </c>
      <c r="E24" s="4">
        <v>296.33423</v>
      </c>
      <c r="F24" s="4">
        <v>296.33423</v>
      </c>
      <c r="G24" s="26">
        <f>+F24/E24*100%</f>
        <v>1</v>
      </c>
      <c r="H24" s="25">
        <f>175.6286432+101.00169644+4.88666036</f>
        <v>281.517</v>
      </c>
      <c r="I24" s="26">
        <v>1</v>
      </c>
      <c r="J24" s="24" t="s">
        <v>40</v>
      </c>
    </row>
    <row r="25" spans="1:10" s="14" customFormat="1" ht="51" customHeight="1">
      <c r="A25" s="27">
        <f>+'[1]2-шакл'!A27</f>
        <v>8</v>
      </c>
      <c r="B25" s="23" t="s">
        <v>59</v>
      </c>
      <c r="C25" s="27">
        <v>1</v>
      </c>
      <c r="D25" s="25">
        <v>504</v>
      </c>
      <c r="E25" s="4">
        <v>1102.5</v>
      </c>
      <c r="F25" s="4">
        <v>484.214518</v>
      </c>
      <c r="G25" s="26">
        <f>+F25/E25*100%</f>
        <v>0.439196841723356</v>
      </c>
      <c r="H25" s="25">
        <f>330.75+149.25</f>
        <v>480</v>
      </c>
      <c r="I25" s="26">
        <f>+H25/E25*100%</f>
        <v>0.43537414965986393</v>
      </c>
      <c r="J25" s="25" t="s">
        <v>144</v>
      </c>
    </row>
    <row r="26" spans="1:10" s="47" customFormat="1" ht="24" customHeight="1">
      <c r="A26" s="19"/>
      <c r="B26" s="16" t="s">
        <v>17</v>
      </c>
      <c r="C26" s="30"/>
      <c r="D26" s="29"/>
      <c r="E26" s="5"/>
      <c r="F26" s="5"/>
      <c r="G26" s="5"/>
      <c r="H26" s="25"/>
      <c r="I26" s="29"/>
      <c r="J26" s="30"/>
    </row>
    <row r="27" spans="1:10" s="14" customFormat="1" ht="51" customHeight="1">
      <c r="A27" s="27">
        <f>+'[1]2-шакл'!A28</f>
        <v>9</v>
      </c>
      <c r="B27" s="23" t="s">
        <v>55</v>
      </c>
      <c r="C27" s="27">
        <v>1</v>
      </c>
      <c r="D27" s="25">
        <v>793.732546</v>
      </c>
      <c r="E27" s="4">
        <v>1298.23434</v>
      </c>
      <c r="F27" s="4">
        <v>770.295882</v>
      </c>
      <c r="G27" s="26">
        <f>+F27/E27*100%</f>
        <v>0.5933411698230074</v>
      </c>
      <c r="H27" s="25">
        <f>194.735151+194.735151+380.261698</f>
        <v>769.732</v>
      </c>
      <c r="I27" s="26">
        <f>+H27/E27*100%</f>
        <v>0.5929068245105887</v>
      </c>
      <c r="J27" s="24" t="s">
        <v>67</v>
      </c>
    </row>
    <row r="28" spans="1:10" s="14" customFormat="1" ht="51" customHeight="1">
      <c r="A28" s="27">
        <f>+'[1]2-шакл'!A29</f>
        <v>10</v>
      </c>
      <c r="B28" s="23" t="s">
        <v>56</v>
      </c>
      <c r="C28" s="27">
        <v>1</v>
      </c>
      <c r="D28" s="25">
        <v>333.66671865</v>
      </c>
      <c r="E28" s="4">
        <v>337.964967</v>
      </c>
      <c r="F28" s="4">
        <f>108.749755+156.152213+73.062999</f>
        <v>337.964967</v>
      </c>
      <c r="G28" s="26">
        <f>+F28/E28*100%</f>
        <v>1</v>
      </c>
      <c r="H28" s="25">
        <f>101.3894901+70.68734075+101.498938+47.4909498</f>
        <v>321.06671865000004</v>
      </c>
      <c r="I28" s="26">
        <v>1</v>
      </c>
      <c r="J28" s="24" t="s">
        <v>39</v>
      </c>
    </row>
    <row r="29" spans="1:10" s="47" customFormat="1" ht="24" customHeight="1">
      <c r="A29" s="19"/>
      <c r="B29" s="16" t="s">
        <v>18</v>
      </c>
      <c r="C29" s="30"/>
      <c r="D29" s="29"/>
      <c r="E29" s="5"/>
      <c r="F29" s="5"/>
      <c r="G29" s="5"/>
      <c r="H29" s="25"/>
      <c r="I29" s="29"/>
      <c r="J29" s="30"/>
    </row>
    <row r="30" spans="1:10" s="14" customFormat="1" ht="51" customHeight="1">
      <c r="A30" s="27">
        <f>+'[1]2-шакл'!A30</f>
        <v>11</v>
      </c>
      <c r="B30" s="23" t="s">
        <v>70</v>
      </c>
      <c r="C30" s="27">
        <v>1</v>
      </c>
      <c r="D30" s="25">
        <v>270.9296054</v>
      </c>
      <c r="E30" s="39">
        <v>270.978532</v>
      </c>
      <c r="F30" s="39">
        <v>270.978532</v>
      </c>
      <c r="G30" s="26">
        <f>+F30/E30*100%</f>
        <v>1</v>
      </c>
      <c r="H30" s="25">
        <f>161.2935596+36.490337+59.6457088</f>
        <v>257.4296054</v>
      </c>
      <c r="I30" s="26">
        <v>1</v>
      </c>
      <c r="J30" s="27" t="s">
        <v>71</v>
      </c>
    </row>
    <row r="31" spans="1:10" s="47" customFormat="1" ht="24" customHeight="1">
      <c r="A31" s="19"/>
      <c r="B31" s="16" t="s">
        <v>19</v>
      </c>
      <c r="C31" s="30"/>
      <c r="D31" s="29"/>
      <c r="E31" s="5"/>
      <c r="F31" s="5"/>
      <c r="G31" s="5"/>
      <c r="H31" s="25"/>
      <c r="I31" s="29"/>
      <c r="J31" s="30"/>
    </row>
    <row r="32" spans="1:10" s="10" customFormat="1" ht="51" customHeight="1">
      <c r="A32" s="22">
        <f>+'[1]2-шакл'!A31</f>
        <v>12</v>
      </c>
      <c r="B32" s="23" t="s">
        <v>53</v>
      </c>
      <c r="C32" s="27">
        <v>1</v>
      </c>
      <c r="D32" s="25">
        <v>297.633994</v>
      </c>
      <c r="E32" s="4">
        <v>305.825257</v>
      </c>
      <c r="F32" s="4">
        <v>305.825257</v>
      </c>
      <c r="G32" s="26">
        <f>+F32/E32*100%</f>
        <v>1</v>
      </c>
      <c r="H32" s="25">
        <f>280.3975181+10.13647605</f>
        <v>290.53399415</v>
      </c>
      <c r="I32" s="26">
        <v>1</v>
      </c>
      <c r="J32" s="24" t="s">
        <v>30</v>
      </c>
    </row>
    <row r="33" spans="1:10" s="14" customFormat="1" ht="51" customHeight="1">
      <c r="A33" s="27">
        <f>+'[1]2-шакл'!A32</f>
        <v>13</v>
      </c>
      <c r="B33" s="23" t="s">
        <v>54</v>
      </c>
      <c r="C33" s="27">
        <v>1</v>
      </c>
      <c r="D33" s="25">
        <v>286.216584</v>
      </c>
      <c r="E33" s="4">
        <v>293.806615</v>
      </c>
      <c r="F33" s="4">
        <v>293.806615</v>
      </c>
      <c r="G33" s="26">
        <f>+F33/E33*100%</f>
        <v>1</v>
      </c>
      <c r="H33" s="25">
        <f>178.1419845+44.29659226+50.57395434+6.10375315</f>
        <v>279.11628425</v>
      </c>
      <c r="I33" s="26">
        <v>1</v>
      </c>
      <c r="J33" s="24" t="s">
        <v>30</v>
      </c>
    </row>
    <row r="34" spans="1:10" s="47" customFormat="1" ht="24" customHeight="1">
      <c r="A34" s="19"/>
      <c r="B34" s="16" t="s">
        <v>20</v>
      </c>
      <c r="C34" s="30"/>
      <c r="D34" s="29"/>
      <c r="E34" s="5"/>
      <c r="F34" s="5"/>
      <c r="G34" s="5"/>
      <c r="H34" s="25"/>
      <c r="I34" s="29"/>
      <c r="J34" s="30"/>
    </row>
    <row r="35" spans="1:10" s="14" customFormat="1" ht="51" customHeight="1">
      <c r="A35" s="27">
        <f>+'[1]2-шакл'!A33</f>
        <v>14</v>
      </c>
      <c r="B35" s="23" t="s">
        <v>51</v>
      </c>
      <c r="C35" s="27">
        <v>1</v>
      </c>
      <c r="D35" s="25">
        <v>300.539549</v>
      </c>
      <c r="E35" s="4">
        <v>310.463154</v>
      </c>
      <c r="F35" s="4">
        <v>310.463154</v>
      </c>
      <c r="G35" s="26">
        <f>+F35/E35*100%</f>
        <v>1</v>
      </c>
      <c r="H35" s="25">
        <f>46.5694731+46.5694731+142.001392+41.65832125+12.559938+5.58139885</f>
        <v>294.9399963000001</v>
      </c>
      <c r="I35" s="26">
        <v>1</v>
      </c>
      <c r="J35" s="24" t="s">
        <v>31</v>
      </c>
    </row>
    <row r="36" spans="1:10" s="10" customFormat="1" ht="51" customHeight="1">
      <c r="A36" s="22">
        <f>+'[1]2-шакл'!A34</f>
        <v>15</v>
      </c>
      <c r="B36" s="23" t="s">
        <v>52</v>
      </c>
      <c r="C36" s="27">
        <v>1</v>
      </c>
      <c r="D36" s="25">
        <v>544.618309</v>
      </c>
      <c r="E36" s="4">
        <v>567.387603</v>
      </c>
      <c r="F36" s="4">
        <v>567.387603</v>
      </c>
      <c r="G36" s="26">
        <f>+F36/E36*100%</f>
        <v>1</v>
      </c>
      <c r="H36" s="25">
        <f>430.21628005+29.3915024+11.7954785+20.93077305+46.683966</f>
        <v>539.018</v>
      </c>
      <c r="I36" s="26">
        <v>1</v>
      </c>
      <c r="J36" s="24" t="s">
        <v>32</v>
      </c>
    </row>
    <row r="37" spans="1:10" s="47" customFormat="1" ht="24" customHeight="1">
      <c r="A37" s="19"/>
      <c r="B37" s="16" t="s">
        <v>21</v>
      </c>
      <c r="C37" s="30"/>
      <c r="D37" s="29"/>
      <c r="E37" s="5"/>
      <c r="F37" s="5"/>
      <c r="G37" s="5"/>
      <c r="H37" s="25"/>
      <c r="I37" s="29"/>
      <c r="J37" s="30"/>
    </row>
    <row r="38" spans="1:10" s="10" customFormat="1" ht="51" customHeight="1">
      <c r="A38" s="22">
        <f>+'[1]2-шакл'!A35</f>
        <v>16</v>
      </c>
      <c r="B38" s="23" t="s">
        <v>50</v>
      </c>
      <c r="C38" s="27">
        <v>1</v>
      </c>
      <c r="D38" s="25">
        <v>346.774704</v>
      </c>
      <c r="E38" s="4">
        <v>359.131566</v>
      </c>
      <c r="F38" s="4">
        <v>359.131566</v>
      </c>
      <c r="G38" s="26">
        <f>+F38/E38*100%</f>
        <v>1</v>
      </c>
      <c r="H38" s="25">
        <f>317.7394698+17.058749+6.3767689</f>
        <v>341.1749877</v>
      </c>
      <c r="I38" s="26">
        <v>1</v>
      </c>
      <c r="J38" s="24" t="s">
        <v>38</v>
      </c>
    </row>
    <row r="39" spans="1:10" s="47" customFormat="1" ht="24" customHeight="1">
      <c r="A39" s="19"/>
      <c r="B39" s="16" t="s">
        <v>22</v>
      </c>
      <c r="C39" s="30"/>
      <c r="D39" s="29"/>
      <c r="E39" s="5"/>
      <c r="F39" s="5"/>
      <c r="G39" s="5"/>
      <c r="H39" s="25"/>
      <c r="I39" s="29"/>
      <c r="J39" s="30"/>
    </row>
    <row r="40" spans="1:10" s="10" customFormat="1" ht="51" customHeight="1">
      <c r="A40" s="22">
        <f>+'[1]2-шакл'!A36</f>
        <v>17</v>
      </c>
      <c r="B40" s="23" t="s">
        <v>47</v>
      </c>
      <c r="C40" s="27">
        <v>1</v>
      </c>
      <c r="D40" s="25">
        <v>503.742145</v>
      </c>
      <c r="E40" s="4">
        <v>524.360262</v>
      </c>
      <c r="F40" s="4">
        <v>524.360262</v>
      </c>
      <c r="G40" s="26">
        <f>+F40/E40*100%</f>
        <v>1</v>
      </c>
      <c r="H40" s="25">
        <f>398.141937685+80.14835645+15.27055+4.58109355</f>
        <v>498.141937685</v>
      </c>
      <c r="I40" s="26">
        <v>1</v>
      </c>
      <c r="J40" s="24" t="s">
        <v>33</v>
      </c>
    </row>
    <row r="41" spans="1:10" s="10" customFormat="1" ht="51" customHeight="1">
      <c r="A41" s="22">
        <f>+'[1]2-шакл'!A37</f>
        <v>18</v>
      </c>
      <c r="B41" s="23" t="s">
        <v>48</v>
      </c>
      <c r="C41" s="27">
        <v>1</v>
      </c>
      <c r="D41" s="25">
        <v>336.534612</v>
      </c>
      <c r="E41" s="4">
        <v>348.352122</v>
      </c>
      <c r="F41" s="4">
        <v>348.352122</v>
      </c>
      <c r="G41" s="26">
        <f>+F41/E41*100%</f>
        <v>1</v>
      </c>
      <c r="H41" s="25">
        <f>271.7857808+47.540012+11.6087231</f>
        <v>330.9345159</v>
      </c>
      <c r="I41" s="26">
        <v>1</v>
      </c>
      <c r="J41" s="24" t="s">
        <v>34</v>
      </c>
    </row>
    <row r="42" spans="1:10" s="10" customFormat="1" ht="51" customHeight="1">
      <c r="A42" s="22">
        <f>+'[1]2-шакл'!A38</f>
        <v>19</v>
      </c>
      <c r="B42" s="23" t="s">
        <v>66</v>
      </c>
      <c r="C42" s="27">
        <v>1</v>
      </c>
      <c r="D42" s="25">
        <v>524.031312</v>
      </c>
      <c r="E42" s="4">
        <v>545.716873</v>
      </c>
      <c r="F42" s="4">
        <v>545.716873</v>
      </c>
      <c r="G42" s="26">
        <f>+F42/E42*100%</f>
        <v>1</v>
      </c>
      <c r="H42" s="25">
        <f>383.7150619+59.63389285+57.92957885+17.1524664</f>
        <v>518.431</v>
      </c>
      <c r="I42" s="26">
        <v>1</v>
      </c>
      <c r="J42" s="24" t="s">
        <v>33</v>
      </c>
    </row>
    <row r="43" spans="1:10" s="10" customFormat="1" ht="51" customHeight="1">
      <c r="A43" s="22">
        <f>+'[1]2-шакл'!A39</f>
        <v>20</v>
      </c>
      <c r="B43" s="23" t="s">
        <v>49</v>
      </c>
      <c r="C43" s="27">
        <v>1</v>
      </c>
      <c r="D43" s="25">
        <v>404.734894</v>
      </c>
      <c r="E43" s="4">
        <v>420.142147</v>
      </c>
      <c r="F43" s="4">
        <v>420.142147</v>
      </c>
      <c r="G43" s="26">
        <f>+F43/E43*100%</f>
        <v>1</v>
      </c>
      <c r="H43" s="25">
        <f>358.89105015+34.0391953+6.20475455</f>
        <v>399.13500000000005</v>
      </c>
      <c r="I43" s="26">
        <v>1</v>
      </c>
      <c r="J43" s="24" t="s">
        <v>35</v>
      </c>
    </row>
    <row r="44" spans="1:10" s="47" customFormat="1" ht="24" customHeight="1">
      <c r="A44" s="19"/>
      <c r="B44" s="16" t="s">
        <v>23</v>
      </c>
      <c r="C44" s="30"/>
      <c r="D44" s="29"/>
      <c r="E44" s="5"/>
      <c r="F44" s="5"/>
      <c r="G44" s="5"/>
      <c r="H44" s="25"/>
      <c r="I44" s="29"/>
      <c r="J44" s="30"/>
    </row>
    <row r="45" spans="1:10" s="10" customFormat="1" ht="51" customHeight="1">
      <c r="A45" s="22">
        <f>+'[1]2-шакл'!A40</f>
        <v>21</v>
      </c>
      <c r="B45" s="23" t="s">
        <v>46</v>
      </c>
      <c r="C45" s="27">
        <v>1</v>
      </c>
      <c r="D45" s="25">
        <v>143.565687</v>
      </c>
      <c r="E45" s="4">
        <v>137.858618</v>
      </c>
      <c r="F45" s="4">
        <v>137.858618</v>
      </c>
      <c r="G45" s="26">
        <f>+F45/E45*100%</f>
        <v>1</v>
      </c>
      <c r="H45" s="25">
        <f>108.56366105+17.2323275+5.16969855</f>
        <v>130.9656871</v>
      </c>
      <c r="I45" s="26">
        <v>1</v>
      </c>
      <c r="J45" s="24" t="s">
        <v>12</v>
      </c>
    </row>
    <row r="46" spans="1:10" s="47" customFormat="1" ht="24" customHeight="1">
      <c r="A46" s="19"/>
      <c r="B46" s="16" t="s">
        <v>24</v>
      </c>
      <c r="C46" s="30"/>
      <c r="D46" s="29"/>
      <c r="E46" s="5"/>
      <c r="F46" s="5"/>
      <c r="G46" s="5"/>
      <c r="H46" s="25"/>
      <c r="I46" s="29"/>
      <c r="J46" s="30"/>
    </row>
    <row r="47" spans="1:10" s="10" customFormat="1" ht="51" customHeight="1">
      <c r="A47" s="22">
        <f>+'[1]2-шакл'!A41</f>
        <v>22</v>
      </c>
      <c r="B47" s="23" t="s">
        <v>44</v>
      </c>
      <c r="C47" s="27">
        <v>1</v>
      </c>
      <c r="D47" s="25">
        <v>462.11344465</v>
      </c>
      <c r="E47" s="4">
        <v>473.172047</v>
      </c>
      <c r="F47" s="4">
        <v>473.172047</v>
      </c>
      <c r="G47" s="26">
        <f aca="true" t="shared" si="1" ref="G47:G53">+F47/E47*100%</f>
        <v>1</v>
      </c>
      <c r="H47" s="25">
        <f>269.1076925+148.34924125+32.05606625</f>
        <v>449.513</v>
      </c>
      <c r="I47" s="26">
        <v>1</v>
      </c>
      <c r="J47" s="24" t="s">
        <v>75</v>
      </c>
    </row>
    <row r="48" spans="1:10" s="10" customFormat="1" ht="51" customHeight="1">
      <c r="A48" s="22">
        <f>+'[1]2-шакл'!A42</f>
        <v>23</v>
      </c>
      <c r="B48" s="23" t="s">
        <v>45</v>
      </c>
      <c r="C48" s="27">
        <v>1</v>
      </c>
      <c r="D48" s="25">
        <v>504</v>
      </c>
      <c r="E48" s="4">
        <v>1092.608831</v>
      </c>
      <c r="F48" s="4">
        <v>480.492045</v>
      </c>
      <c r="G48" s="26">
        <f t="shared" si="1"/>
        <v>0.4397658442502558</v>
      </c>
      <c r="H48" s="25">
        <f>327.7826493+152.2173507</f>
        <v>480</v>
      </c>
      <c r="I48" s="26">
        <f>+H48/E48*100%</f>
        <v>0.43931550467213826</v>
      </c>
      <c r="J48" s="24" t="s">
        <v>145</v>
      </c>
    </row>
    <row r="49" spans="1:10" s="10" customFormat="1" ht="24" customHeight="1">
      <c r="A49" s="19"/>
      <c r="B49" s="16" t="s">
        <v>7</v>
      </c>
      <c r="C49" s="28">
        <f>SUM(C50:C53)</f>
        <v>4</v>
      </c>
      <c r="D49" s="34">
        <f>SUM(D50:D53)</f>
        <v>289.80006425</v>
      </c>
      <c r="E49" s="35">
        <f>SUM(E50:E53)</f>
        <v>294.951914</v>
      </c>
      <c r="F49" s="35">
        <f>SUM(F50:F53)</f>
        <v>294.951913</v>
      </c>
      <c r="G49" s="9">
        <f t="shared" si="1"/>
        <v>0.9999999966096168</v>
      </c>
      <c r="H49" s="35">
        <f>SUM(H50:H53)</f>
        <v>280.20378291</v>
      </c>
      <c r="I49" s="9">
        <f>+H49/E49*100%</f>
        <v>0.949998184822764</v>
      </c>
      <c r="J49" s="36"/>
    </row>
    <row r="50" spans="1:10" s="10" customFormat="1" ht="69" customHeight="1">
      <c r="A50" s="22">
        <f>+'[1]2-шакл'!A44</f>
        <v>24</v>
      </c>
      <c r="B50" s="23" t="s">
        <v>43</v>
      </c>
      <c r="C50" s="27">
        <v>1</v>
      </c>
      <c r="D50" s="40">
        <v>93</v>
      </c>
      <c r="E50" s="41">
        <v>90</v>
      </c>
      <c r="F50" s="41">
        <v>90</v>
      </c>
      <c r="G50" s="26">
        <f t="shared" si="1"/>
        <v>1</v>
      </c>
      <c r="H50" s="25">
        <f>27+58.5</f>
        <v>85.5</v>
      </c>
      <c r="I50" s="26">
        <v>1</v>
      </c>
      <c r="J50" s="24" t="s">
        <v>36</v>
      </c>
    </row>
    <row r="51" spans="1:10" s="10" customFormat="1" ht="68.25" customHeight="1">
      <c r="A51" s="22">
        <f>+'[1]2-шакл'!A45</f>
        <v>25</v>
      </c>
      <c r="B51" s="23" t="s">
        <v>65</v>
      </c>
      <c r="C51" s="27">
        <v>1</v>
      </c>
      <c r="D51" s="25">
        <v>64.8178515</v>
      </c>
      <c r="E51" s="4">
        <v>66.65069</v>
      </c>
      <c r="F51" s="4">
        <v>66.65069</v>
      </c>
      <c r="G51" s="26">
        <f t="shared" si="1"/>
        <v>1</v>
      </c>
      <c r="H51" s="25">
        <f>56.83647295+6.48152705</f>
        <v>63.318</v>
      </c>
      <c r="I51" s="26">
        <v>1</v>
      </c>
      <c r="J51" s="24" t="s">
        <v>37</v>
      </c>
    </row>
    <row r="52" spans="1:10" s="10" customFormat="1" ht="69" customHeight="1">
      <c r="A52" s="22">
        <f>+'[1]2-шакл'!A46</f>
        <v>26</v>
      </c>
      <c r="B52" s="23" t="s">
        <v>64</v>
      </c>
      <c r="C52" s="27">
        <v>1</v>
      </c>
      <c r="D52" s="25">
        <v>59.13337985</v>
      </c>
      <c r="E52" s="4">
        <v>62.245663</v>
      </c>
      <c r="F52" s="4">
        <v>62.245662</v>
      </c>
      <c r="G52" s="26">
        <f t="shared" si="1"/>
        <v>0.9999999839346237</v>
      </c>
      <c r="H52" s="25">
        <f>18.6736989+40.4593011</f>
        <v>59.132999999999996</v>
      </c>
      <c r="I52" s="26">
        <v>1</v>
      </c>
      <c r="J52" s="27" t="s">
        <v>142</v>
      </c>
    </row>
    <row r="53" spans="1:10" s="10" customFormat="1" ht="69" customHeight="1">
      <c r="A53" s="22">
        <f>+'[1]2-шакл'!A47</f>
        <v>27</v>
      </c>
      <c r="B53" s="23" t="s">
        <v>42</v>
      </c>
      <c r="C53" s="27">
        <v>1</v>
      </c>
      <c r="D53" s="25">
        <v>72.8488329</v>
      </c>
      <c r="E53" s="4">
        <v>76.055561</v>
      </c>
      <c r="F53" s="4">
        <v>76.055561</v>
      </c>
      <c r="G53" s="26">
        <f t="shared" si="1"/>
        <v>1</v>
      </c>
      <c r="H53" s="25">
        <f>22.8166683+49.43611461</f>
        <v>72.25278291</v>
      </c>
      <c r="I53" s="26">
        <v>1</v>
      </c>
      <c r="J53" s="27" t="s">
        <v>142</v>
      </c>
    </row>
    <row r="54" spans="1:10" s="10" customFormat="1" ht="33" customHeight="1">
      <c r="A54" s="42"/>
      <c r="B54" s="43" t="s">
        <v>8</v>
      </c>
      <c r="C54" s="42"/>
      <c r="D54" s="44">
        <v>261.457487384499</v>
      </c>
      <c r="E54" s="7"/>
      <c r="F54" s="5">
        <v>81.225072</v>
      </c>
      <c r="G54" s="4"/>
      <c r="H54" s="5">
        <v>81.225072</v>
      </c>
      <c r="I54" s="25"/>
      <c r="J54" s="45"/>
    </row>
    <row r="55" spans="1:10" s="10" customFormat="1" ht="33" customHeight="1">
      <c r="A55" s="42"/>
      <c r="B55" s="43" t="s">
        <v>9</v>
      </c>
      <c r="C55" s="42"/>
      <c r="D55" s="44">
        <v>76.378</v>
      </c>
      <c r="E55" s="7"/>
      <c r="F55" s="6"/>
      <c r="G55" s="6"/>
      <c r="H55" s="46"/>
      <c r="I55" s="46"/>
      <c r="J55" s="45"/>
    </row>
  </sheetData>
  <sheetProtection/>
  <mergeCells count="14">
    <mergeCell ref="E3:E5"/>
    <mergeCell ref="F3:G3"/>
    <mergeCell ref="H3:I3"/>
    <mergeCell ref="J3:J5"/>
    <mergeCell ref="F4:F5"/>
    <mergeCell ref="G4:G5"/>
    <mergeCell ref="H4:H5"/>
    <mergeCell ref="I4:I5"/>
    <mergeCell ref="A1:J1"/>
    <mergeCell ref="H2:J2"/>
    <mergeCell ref="A3:A5"/>
    <mergeCell ref="B3:B5"/>
    <mergeCell ref="C3:C5"/>
    <mergeCell ref="D3:D5"/>
  </mergeCells>
  <printOptions/>
  <pageMargins left="0.7874015748031497" right="0" top="0.35433070866141736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="85" zoomScaleSheetLayoutView="85" zoomScalePageLayoutView="0" workbookViewId="0" topLeftCell="A1">
      <selection activeCell="H3" sqref="H3:I3"/>
    </sheetView>
  </sheetViews>
  <sheetFormatPr defaultColWidth="9.140625" defaultRowHeight="15"/>
  <cols>
    <col min="1" max="1" width="5.57421875" style="1" customWidth="1"/>
    <col min="2" max="2" width="43.7109375" style="1" customWidth="1"/>
    <col min="3" max="3" width="11.140625" style="1" customWidth="1"/>
    <col min="4" max="5" width="19.28125" style="1" customWidth="1"/>
    <col min="6" max="6" width="16.140625" style="3" customWidth="1"/>
    <col min="7" max="7" width="13.28125" style="3" customWidth="1"/>
    <col min="8" max="8" width="16.421875" style="3" customWidth="1"/>
    <col min="9" max="9" width="13.00390625" style="3" customWidth="1"/>
    <col min="10" max="10" width="28.7109375" style="1" customWidth="1"/>
    <col min="11" max="16384" width="9.140625" style="1" customWidth="1"/>
  </cols>
  <sheetData>
    <row r="1" spans="1:10" s="10" customFormat="1" ht="48.75" customHeight="1">
      <c r="A1" s="54" t="s">
        <v>82</v>
      </c>
      <c r="B1" s="54"/>
      <c r="C1" s="54"/>
      <c r="D1" s="54"/>
      <c r="E1" s="54"/>
      <c r="F1" s="54"/>
      <c r="G1" s="54"/>
      <c r="H1" s="54"/>
      <c r="I1" s="54"/>
      <c r="J1" s="54"/>
    </row>
    <row r="2" spans="2:10" s="10" customFormat="1" ht="16.5" customHeight="1">
      <c r="B2" s="11"/>
      <c r="C2" s="12"/>
      <c r="D2" s="13"/>
      <c r="E2" s="13"/>
      <c r="F2" s="14"/>
      <c r="G2" s="14"/>
      <c r="H2" s="55" t="s">
        <v>228</v>
      </c>
      <c r="I2" s="55"/>
      <c r="J2" s="55"/>
    </row>
    <row r="3" spans="1:10" s="47" customFormat="1" ht="51" customHeight="1">
      <c r="A3" s="56" t="s">
        <v>141</v>
      </c>
      <c r="B3" s="57" t="s">
        <v>117</v>
      </c>
      <c r="C3" s="57" t="s">
        <v>120</v>
      </c>
      <c r="D3" s="57" t="s">
        <v>121</v>
      </c>
      <c r="E3" s="58" t="s">
        <v>122</v>
      </c>
      <c r="F3" s="61" t="s">
        <v>123</v>
      </c>
      <c r="G3" s="62"/>
      <c r="H3" s="63" t="s">
        <v>124</v>
      </c>
      <c r="I3" s="64"/>
      <c r="J3" s="58" t="s">
        <v>125</v>
      </c>
    </row>
    <row r="4" spans="1:10" s="47" customFormat="1" ht="15" customHeight="1">
      <c r="A4" s="56"/>
      <c r="B4" s="57"/>
      <c r="C4" s="57"/>
      <c r="D4" s="57"/>
      <c r="E4" s="59"/>
      <c r="F4" s="53" t="s">
        <v>77</v>
      </c>
      <c r="G4" s="53" t="s">
        <v>78</v>
      </c>
      <c r="H4" s="53" t="s">
        <v>77</v>
      </c>
      <c r="I4" s="53" t="s">
        <v>78</v>
      </c>
      <c r="J4" s="59"/>
    </row>
    <row r="5" spans="1:10" s="47" customFormat="1" ht="15" customHeight="1">
      <c r="A5" s="56"/>
      <c r="B5" s="57"/>
      <c r="C5" s="57"/>
      <c r="D5" s="57"/>
      <c r="E5" s="60"/>
      <c r="F5" s="53"/>
      <c r="G5" s="53"/>
      <c r="H5" s="53"/>
      <c r="I5" s="53"/>
      <c r="J5" s="60"/>
    </row>
    <row r="6" spans="1:10" s="47" customFormat="1" ht="29.25" customHeight="1">
      <c r="A6" s="15"/>
      <c r="B6" s="16" t="s">
        <v>118</v>
      </c>
      <c r="C6" s="17">
        <f>+C8+C12+C54+C55</f>
        <v>30</v>
      </c>
      <c r="D6" s="18">
        <f>+D8+D12+D54+D55</f>
        <v>10999.999977834499</v>
      </c>
      <c r="E6" s="18">
        <f>+E8+E12+E54+E55</f>
        <v>13212.517700999999</v>
      </c>
      <c r="F6" s="18">
        <f>+F8+F12+F54+F55</f>
        <v>11516.834537000002</v>
      </c>
      <c r="G6" s="8">
        <f>+F6/E6*100%</f>
        <v>0.8716608596201421</v>
      </c>
      <c r="H6" s="18">
        <f>+H8+H12+H54+H55</f>
        <v>10461.717201354999</v>
      </c>
      <c r="I6" s="8">
        <f>+H6/D6*100%</f>
        <v>0.9510652020396214</v>
      </c>
      <c r="J6" s="19"/>
    </row>
    <row r="7" spans="1:10" s="47" customFormat="1" ht="15.75">
      <c r="A7" s="15"/>
      <c r="B7" s="20" t="s">
        <v>119</v>
      </c>
      <c r="C7" s="19"/>
      <c r="D7" s="18"/>
      <c r="E7" s="18"/>
      <c r="F7" s="21"/>
      <c r="G7" s="8"/>
      <c r="H7" s="18"/>
      <c r="I7" s="18"/>
      <c r="J7" s="19"/>
    </row>
    <row r="8" spans="1:10" s="47" customFormat="1" ht="24" customHeight="1">
      <c r="A8" s="15"/>
      <c r="B8" s="16" t="s">
        <v>126</v>
      </c>
      <c r="C8" s="17">
        <f>SUM(C9:C11)</f>
        <v>3</v>
      </c>
      <c r="D8" s="18">
        <f>SUM(D9:D11)</f>
        <v>1381.8950840000002</v>
      </c>
      <c r="E8" s="21">
        <f>SUM(E9:E11)</f>
        <v>2042.288867</v>
      </c>
      <c r="F8" s="21">
        <f>SUM(F9:F11)</f>
        <v>2026.637758</v>
      </c>
      <c r="G8" s="8">
        <f>+F8/E8*100%</f>
        <v>0.9923364861587918</v>
      </c>
      <c r="H8" s="21">
        <f>SUM(H9:H11)</f>
        <v>1357.72206245</v>
      </c>
      <c r="I8" s="8">
        <f aca="true" t="shared" si="0" ref="I8:I13">+H8/D8*100%</f>
        <v>0.982507339500746</v>
      </c>
      <c r="J8" s="51"/>
    </row>
    <row r="9" spans="1:10" s="10" customFormat="1" ht="48" customHeight="1">
      <c r="A9" s="22">
        <v>1</v>
      </c>
      <c r="B9" s="23" t="s">
        <v>114</v>
      </c>
      <c r="C9" s="24">
        <v>1</v>
      </c>
      <c r="D9" s="25">
        <v>973.5983</v>
      </c>
      <c r="E9" s="4">
        <v>1208.247854</v>
      </c>
      <c r="F9" s="4">
        <v>1192.596745</v>
      </c>
      <c r="G9" s="52">
        <f>+F9/E9*100%</f>
        <v>0.9870464417145988</v>
      </c>
      <c r="H9" s="25">
        <f>181.2371781+236.20433525+119.08468585+387.87259485+32.0262683</f>
        <v>956.4250623500001</v>
      </c>
      <c r="I9" s="52">
        <f t="shared" si="0"/>
        <v>0.9823610644657043</v>
      </c>
      <c r="J9" s="24" t="s">
        <v>10</v>
      </c>
    </row>
    <row r="10" spans="1:10" s="10" customFormat="1" ht="48" customHeight="1">
      <c r="A10" s="22">
        <v>2</v>
      </c>
      <c r="B10" s="23" t="s">
        <v>84</v>
      </c>
      <c r="C10" s="24">
        <v>1</v>
      </c>
      <c r="D10" s="25">
        <v>375</v>
      </c>
      <c r="E10" s="4">
        <v>460</v>
      </c>
      <c r="F10" s="4">
        <v>460</v>
      </c>
      <c r="G10" s="26">
        <f>+F10/E10*100%</f>
        <v>1</v>
      </c>
      <c r="H10" s="25">
        <f>338.622851+29.3771491</f>
        <v>368.0000001</v>
      </c>
      <c r="I10" s="26">
        <v>1</v>
      </c>
      <c r="J10" s="24" t="s">
        <v>12</v>
      </c>
    </row>
    <row r="11" spans="1:10" s="14" customFormat="1" ht="51" customHeight="1">
      <c r="A11" s="27">
        <v>3</v>
      </c>
      <c r="B11" s="23" t="s">
        <v>115</v>
      </c>
      <c r="C11" s="24">
        <v>1</v>
      </c>
      <c r="D11" s="25">
        <v>33.296784</v>
      </c>
      <c r="E11" s="4">
        <v>374.041013</v>
      </c>
      <c r="F11" s="4">
        <v>374.041013</v>
      </c>
      <c r="G11" s="26">
        <f>+F11/E11*100%</f>
        <v>1</v>
      </c>
      <c r="H11" s="25">
        <v>33.297</v>
      </c>
      <c r="I11" s="26">
        <f t="shared" si="0"/>
        <v>1.0000064871129895</v>
      </c>
      <c r="J11" s="24" t="s">
        <v>11</v>
      </c>
    </row>
    <row r="12" spans="1:10" s="47" customFormat="1" ht="24" customHeight="1">
      <c r="A12" s="19"/>
      <c r="B12" s="16" t="s">
        <v>127</v>
      </c>
      <c r="C12" s="28">
        <f>+C13+C49</f>
        <v>27</v>
      </c>
      <c r="D12" s="29">
        <f>+D13+D49</f>
        <v>9280.26940645</v>
      </c>
      <c r="E12" s="29">
        <f>+E13+E49+E54</f>
        <v>11170.228834</v>
      </c>
      <c r="F12" s="29">
        <f>+F13+F49</f>
        <v>9408.971707000002</v>
      </c>
      <c r="G12" s="8">
        <f>+F12/D12*100%</f>
        <v>1.0138683797757586</v>
      </c>
      <c r="H12" s="29">
        <f>+H13+H49</f>
        <v>9022.770066905</v>
      </c>
      <c r="I12" s="8">
        <f t="shared" si="0"/>
        <v>0.972253031860688</v>
      </c>
      <c r="J12" s="30"/>
    </row>
    <row r="13" spans="1:10" s="48" customFormat="1" ht="21" customHeight="1">
      <c r="A13" s="31"/>
      <c r="B13" s="32" t="s">
        <v>128</v>
      </c>
      <c r="C13" s="33">
        <f>SUM(C15:C48)</f>
        <v>23</v>
      </c>
      <c r="D13" s="34">
        <f>SUM(D15:D48)</f>
        <v>8990.4693422</v>
      </c>
      <c r="E13" s="35">
        <f>SUM(E15:E48)</f>
        <v>10875.27692</v>
      </c>
      <c r="F13" s="35">
        <f>SUM(F15:F48)</f>
        <v>9114.019794000002</v>
      </c>
      <c r="G13" s="9">
        <f>+F13/D13*100%</f>
        <v>1.013742380636356</v>
      </c>
      <c r="H13" s="35">
        <f>SUM(H15:H48)</f>
        <v>8742.566283995</v>
      </c>
      <c r="I13" s="9">
        <f t="shared" si="0"/>
        <v>0.9724260159543198</v>
      </c>
      <c r="J13" s="36"/>
    </row>
    <row r="14" spans="1:10" s="47" customFormat="1" ht="24" customHeight="1">
      <c r="A14" s="19"/>
      <c r="B14" s="16" t="s">
        <v>129</v>
      </c>
      <c r="C14" s="30"/>
      <c r="D14" s="29"/>
      <c r="E14" s="5"/>
      <c r="F14" s="5"/>
      <c r="G14" s="37"/>
      <c r="H14" s="29"/>
      <c r="I14" s="38"/>
      <c r="J14" s="30"/>
    </row>
    <row r="15" spans="1:10" s="10" customFormat="1" ht="51" customHeight="1">
      <c r="A15" s="22">
        <f>+'[1]2-шакл'!A20</f>
        <v>1</v>
      </c>
      <c r="B15" s="23" t="s">
        <v>83</v>
      </c>
      <c r="C15" s="27">
        <v>1</v>
      </c>
      <c r="D15" s="25">
        <v>324.533477</v>
      </c>
      <c r="E15" s="4">
        <v>335.719449</v>
      </c>
      <c r="F15" s="4">
        <v>335.719449</v>
      </c>
      <c r="G15" s="26">
        <f>+F15/E15*100%</f>
        <v>1</v>
      </c>
      <c r="H15" s="25">
        <f>293.38611975+20.50979328+5.03708697</f>
        <v>318.933</v>
      </c>
      <c r="I15" s="26">
        <v>1</v>
      </c>
      <c r="J15" s="24" t="s">
        <v>28</v>
      </c>
    </row>
    <row r="16" spans="1:10" s="10" customFormat="1" ht="51" customHeight="1">
      <c r="A16" s="22">
        <f>+'[1]2-шакл'!A21</f>
        <v>2</v>
      </c>
      <c r="B16" s="23" t="s">
        <v>85</v>
      </c>
      <c r="C16" s="27">
        <v>1</v>
      </c>
      <c r="D16" s="25">
        <v>326.689343</v>
      </c>
      <c r="E16" s="4">
        <v>337.988308</v>
      </c>
      <c r="F16" s="4">
        <v>337.988308</v>
      </c>
      <c r="G16" s="26">
        <f>+F16/E16*100%</f>
        <v>1</v>
      </c>
      <c r="H16" s="25">
        <f>306.14539689+8.9660979+5.97739827</f>
        <v>321.08889306</v>
      </c>
      <c r="I16" s="26">
        <v>1</v>
      </c>
      <c r="J16" s="24" t="s">
        <v>72</v>
      </c>
    </row>
    <row r="17" spans="1:10" s="47" customFormat="1" ht="24" customHeight="1">
      <c r="A17" s="19"/>
      <c r="B17" s="16" t="s">
        <v>130</v>
      </c>
      <c r="C17" s="30"/>
      <c r="D17" s="29"/>
      <c r="E17" s="5"/>
      <c r="F17" s="5"/>
      <c r="G17" s="5"/>
      <c r="H17" s="25"/>
      <c r="I17" s="29"/>
      <c r="J17" s="30"/>
    </row>
    <row r="18" spans="1:10" s="10" customFormat="1" ht="51" customHeight="1">
      <c r="A18" s="22">
        <f>+'[1]2-шакл'!A22</f>
        <v>3</v>
      </c>
      <c r="B18" s="23" t="s">
        <v>86</v>
      </c>
      <c r="C18" s="27">
        <v>1</v>
      </c>
      <c r="D18" s="25">
        <v>377.006309</v>
      </c>
      <c r="E18" s="4">
        <v>383.585588</v>
      </c>
      <c r="F18" s="4">
        <v>383.585588</v>
      </c>
      <c r="G18" s="26">
        <f>+F18/E18*100%</f>
        <v>1</v>
      </c>
      <c r="H18" s="25">
        <f>115.0756764+241.65892044+7.67140316</f>
        <v>364.406</v>
      </c>
      <c r="I18" s="26">
        <v>1</v>
      </c>
      <c r="J18" s="24" t="s">
        <v>29</v>
      </c>
    </row>
    <row r="19" spans="1:10" s="47" customFormat="1" ht="24" customHeight="1">
      <c r="A19" s="19"/>
      <c r="B19" s="16" t="s">
        <v>131</v>
      </c>
      <c r="C19" s="30"/>
      <c r="D19" s="29"/>
      <c r="E19" s="5"/>
      <c r="F19" s="5"/>
      <c r="G19" s="5"/>
      <c r="H19" s="25"/>
      <c r="I19" s="29"/>
      <c r="J19" s="30"/>
    </row>
    <row r="20" spans="1:10" s="14" customFormat="1" ht="51" customHeight="1">
      <c r="A20" s="27">
        <f>+'[1]2-шакл'!A23</f>
        <v>4</v>
      </c>
      <c r="B20" s="23" t="s">
        <v>87</v>
      </c>
      <c r="C20" s="27">
        <v>1</v>
      </c>
      <c r="D20" s="25">
        <v>396.4986638</v>
      </c>
      <c r="E20" s="4">
        <v>405.682804</v>
      </c>
      <c r="F20" s="4">
        <v>404.057165</v>
      </c>
      <c r="G20" s="26">
        <f>+F20/E20*100%</f>
        <v>0.9959928323705829</v>
      </c>
      <c r="H20" s="25">
        <f>221.7048412+39.131444+85.01098385+39.55139475</f>
        <v>385.3986638</v>
      </c>
      <c r="I20" s="26">
        <v>1</v>
      </c>
      <c r="J20" s="24" t="s">
        <v>69</v>
      </c>
    </row>
    <row r="21" spans="1:10" s="14" customFormat="1" ht="47.25">
      <c r="A21" s="27">
        <f>+'[1]2-шакл'!A24</f>
        <v>5</v>
      </c>
      <c r="B21" s="23" t="s">
        <v>116</v>
      </c>
      <c r="C21" s="27">
        <v>1</v>
      </c>
      <c r="D21" s="25">
        <v>402.401508</v>
      </c>
      <c r="E21" s="4">
        <v>411.896851</v>
      </c>
      <c r="F21" s="4">
        <v>410.60609</v>
      </c>
      <c r="G21" s="26">
        <f>+F21/E21*100%</f>
        <v>0.9968663003932505</v>
      </c>
      <c r="H21" s="25">
        <f>123.5690553+229.2905654+34.710825+3.7315543</f>
        <v>391.302</v>
      </c>
      <c r="I21" s="26">
        <v>1</v>
      </c>
      <c r="J21" s="24" t="s">
        <v>41</v>
      </c>
    </row>
    <row r="22" spans="1:10" s="47" customFormat="1" ht="24" customHeight="1">
      <c r="A22" s="19"/>
      <c r="B22" s="16" t="s">
        <v>132</v>
      </c>
      <c r="C22" s="30"/>
      <c r="D22" s="29"/>
      <c r="E22" s="5"/>
      <c r="F22" s="5"/>
      <c r="G22" s="5"/>
      <c r="H22" s="25"/>
      <c r="I22" s="29"/>
      <c r="J22" s="30"/>
    </row>
    <row r="23" spans="1:10" s="10" customFormat="1" ht="51" customHeight="1">
      <c r="A23" s="22">
        <f>+'[1]2-шакл'!A25</f>
        <v>6</v>
      </c>
      <c r="B23" s="23" t="s">
        <v>89</v>
      </c>
      <c r="C23" s="27">
        <v>1</v>
      </c>
      <c r="D23" s="25">
        <v>312.3884182</v>
      </c>
      <c r="E23" s="4">
        <v>315.566756</v>
      </c>
      <c r="F23" s="4">
        <v>315.566756</v>
      </c>
      <c r="G23" s="26">
        <f>+F23/E23*100%</f>
        <v>1</v>
      </c>
      <c r="H23" s="25">
        <f>194.82120648+35.47020947+64.151079+5.34550505</f>
        <v>299.78799999999995</v>
      </c>
      <c r="I23" s="26">
        <v>1</v>
      </c>
      <c r="J23" s="24" t="s">
        <v>40</v>
      </c>
    </row>
    <row r="24" spans="1:10" s="10" customFormat="1" ht="51" customHeight="1">
      <c r="A24" s="22">
        <f>+'[1]2-шакл'!A26</f>
        <v>7</v>
      </c>
      <c r="B24" s="23" t="s">
        <v>90</v>
      </c>
      <c r="C24" s="27">
        <v>1</v>
      </c>
      <c r="D24" s="25">
        <v>294.1175185</v>
      </c>
      <c r="E24" s="4">
        <v>296.33423</v>
      </c>
      <c r="F24" s="4">
        <v>296.33423</v>
      </c>
      <c r="G24" s="26">
        <f>+F24/E24*100%</f>
        <v>1</v>
      </c>
      <c r="H24" s="25">
        <f>175.6286432+101.00169644+4.88666036</f>
        <v>281.517</v>
      </c>
      <c r="I24" s="26">
        <v>1</v>
      </c>
      <c r="J24" s="24" t="s">
        <v>40</v>
      </c>
    </row>
    <row r="25" spans="1:10" s="14" customFormat="1" ht="51" customHeight="1">
      <c r="A25" s="27">
        <f>+'[1]2-шакл'!A27</f>
        <v>8</v>
      </c>
      <c r="B25" s="23" t="s">
        <v>88</v>
      </c>
      <c r="C25" s="27">
        <v>1</v>
      </c>
      <c r="D25" s="25">
        <v>504</v>
      </c>
      <c r="E25" s="4">
        <v>1102.5</v>
      </c>
      <c r="F25" s="4">
        <v>484.214518</v>
      </c>
      <c r="G25" s="26">
        <f>+F25/E25*100%</f>
        <v>0.439196841723356</v>
      </c>
      <c r="H25" s="25">
        <f>330.75+149.25</f>
        <v>480</v>
      </c>
      <c r="I25" s="26">
        <f>+H25/E25*100%</f>
        <v>0.43537414965986393</v>
      </c>
      <c r="J25" s="25" t="s">
        <v>144</v>
      </c>
    </row>
    <row r="26" spans="1:10" s="47" customFormat="1" ht="24" customHeight="1">
      <c r="A26" s="19"/>
      <c r="B26" s="16" t="s">
        <v>133</v>
      </c>
      <c r="C26" s="30"/>
      <c r="D26" s="29"/>
      <c r="E26" s="5"/>
      <c r="F26" s="5"/>
      <c r="G26" s="5"/>
      <c r="H26" s="25"/>
      <c r="I26" s="29"/>
      <c r="J26" s="30"/>
    </row>
    <row r="27" spans="1:10" s="14" customFormat="1" ht="51" customHeight="1">
      <c r="A27" s="27">
        <f>+'[1]2-шакл'!A28</f>
        <v>9</v>
      </c>
      <c r="B27" s="23" t="s">
        <v>91</v>
      </c>
      <c r="C27" s="27">
        <v>1</v>
      </c>
      <c r="D27" s="25">
        <v>793.732546</v>
      </c>
      <c r="E27" s="4">
        <v>1298.23434</v>
      </c>
      <c r="F27" s="4">
        <v>770.295882</v>
      </c>
      <c r="G27" s="26">
        <f>+F27/E27*100%</f>
        <v>0.5933411698230074</v>
      </c>
      <c r="H27" s="25">
        <f>194.735151+194.735151+380.261698</f>
        <v>769.732</v>
      </c>
      <c r="I27" s="26">
        <f>+H27/E27*100%</f>
        <v>0.5929068245105887</v>
      </c>
      <c r="J27" s="24" t="s">
        <v>67</v>
      </c>
    </row>
    <row r="28" spans="1:10" s="14" customFormat="1" ht="51" customHeight="1">
      <c r="A28" s="27">
        <f>+'[1]2-шакл'!A29</f>
        <v>10</v>
      </c>
      <c r="B28" s="23" t="s">
        <v>92</v>
      </c>
      <c r="C28" s="27">
        <v>1</v>
      </c>
      <c r="D28" s="25">
        <v>333.66671865</v>
      </c>
      <c r="E28" s="4">
        <v>337.964967</v>
      </c>
      <c r="F28" s="4">
        <f>108.749755+156.152213+73.062999</f>
        <v>337.964967</v>
      </c>
      <c r="G28" s="26">
        <f>+F28/E28*100%</f>
        <v>1</v>
      </c>
      <c r="H28" s="25">
        <f>101.3894901+70.68734075+101.498938+47.4909498</f>
        <v>321.06671865000004</v>
      </c>
      <c r="I28" s="26">
        <v>1</v>
      </c>
      <c r="J28" s="24" t="s">
        <v>39</v>
      </c>
    </row>
    <row r="29" spans="1:10" s="47" customFormat="1" ht="24" customHeight="1">
      <c r="A29" s="19"/>
      <c r="B29" s="16" t="s">
        <v>134</v>
      </c>
      <c r="C29" s="30"/>
      <c r="D29" s="29"/>
      <c r="E29" s="5"/>
      <c r="F29" s="5"/>
      <c r="G29" s="5"/>
      <c r="H29" s="25"/>
      <c r="I29" s="29"/>
      <c r="J29" s="30"/>
    </row>
    <row r="30" spans="1:10" s="14" customFormat="1" ht="51" customHeight="1">
      <c r="A30" s="27">
        <f>+'[1]2-шакл'!A30</f>
        <v>11</v>
      </c>
      <c r="B30" s="23" t="s">
        <v>93</v>
      </c>
      <c r="C30" s="27">
        <v>1</v>
      </c>
      <c r="D30" s="25">
        <v>270.9296054</v>
      </c>
      <c r="E30" s="39">
        <v>270.978532</v>
      </c>
      <c r="F30" s="39">
        <v>270.978532</v>
      </c>
      <c r="G30" s="26">
        <f>+F30/E30*100%</f>
        <v>1</v>
      </c>
      <c r="H30" s="25">
        <f>161.2935596+36.490337+59.6457088</f>
        <v>257.4296054</v>
      </c>
      <c r="I30" s="26">
        <v>1</v>
      </c>
      <c r="J30" s="27" t="s">
        <v>71</v>
      </c>
    </row>
    <row r="31" spans="1:10" s="47" customFormat="1" ht="24" customHeight="1">
      <c r="A31" s="19"/>
      <c r="B31" s="16" t="s">
        <v>135</v>
      </c>
      <c r="C31" s="30"/>
      <c r="D31" s="29"/>
      <c r="E31" s="5"/>
      <c r="F31" s="5"/>
      <c r="G31" s="5"/>
      <c r="H31" s="25"/>
      <c r="I31" s="29"/>
      <c r="J31" s="30"/>
    </row>
    <row r="32" spans="1:10" s="10" customFormat="1" ht="51" customHeight="1">
      <c r="A32" s="22">
        <f>+'[1]2-шакл'!A31</f>
        <v>12</v>
      </c>
      <c r="B32" s="23" t="s">
        <v>94</v>
      </c>
      <c r="C32" s="27">
        <v>1</v>
      </c>
      <c r="D32" s="25">
        <v>297.633994</v>
      </c>
      <c r="E32" s="4">
        <v>305.825257</v>
      </c>
      <c r="F32" s="4">
        <v>305.825257</v>
      </c>
      <c r="G32" s="26">
        <f>+F32/E32*100%</f>
        <v>1</v>
      </c>
      <c r="H32" s="25">
        <f>280.3975181+10.13647605</f>
        <v>290.53399415</v>
      </c>
      <c r="I32" s="26">
        <v>1</v>
      </c>
      <c r="J32" s="24" t="s">
        <v>30</v>
      </c>
    </row>
    <row r="33" spans="1:10" s="14" customFormat="1" ht="51" customHeight="1">
      <c r="A33" s="27">
        <f>+'[1]2-шакл'!A32</f>
        <v>13</v>
      </c>
      <c r="B33" s="23" t="s">
        <v>95</v>
      </c>
      <c r="C33" s="27">
        <v>1</v>
      </c>
      <c r="D33" s="25">
        <v>286.216584</v>
      </c>
      <c r="E33" s="4">
        <v>293.806615</v>
      </c>
      <c r="F33" s="4">
        <v>293.806615</v>
      </c>
      <c r="G33" s="26">
        <f>+F33/E33*100%</f>
        <v>1</v>
      </c>
      <c r="H33" s="25">
        <f>178.1419845+44.29659226+50.57395434+6.10375315</f>
        <v>279.11628425</v>
      </c>
      <c r="I33" s="26">
        <v>1</v>
      </c>
      <c r="J33" s="24" t="s">
        <v>30</v>
      </c>
    </row>
    <row r="34" spans="1:10" s="47" customFormat="1" ht="24" customHeight="1">
      <c r="A34" s="19"/>
      <c r="B34" s="16" t="s">
        <v>136</v>
      </c>
      <c r="C34" s="30"/>
      <c r="D34" s="29"/>
      <c r="E34" s="5"/>
      <c r="F34" s="5"/>
      <c r="G34" s="5"/>
      <c r="H34" s="25"/>
      <c r="I34" s="29"/>
      <c r="J34" s="30"/>
    </row>
    <row r="35" spans="1:10" s="14" customFormat="1" ht="51" customHeight="1">
      <c r="A35" s="27">
        <f>+'[1]2-шакл'!A33</f>
        <v>14</v>
      </c>
      <c r="B35" s="23" t="s">
        <v>96</v>
      </c>
      <c r="C35" s="27">
        <v>1</v>
      </c>
      <c r="D35" s="25">
        <v>300.539549</v>
      </c>
      <c r="E35" s="4">
        <v>310.463154</v>
      </c>
      <c r="F35" s="4">
        <v>310.463154</v>
      </c>
      <c r="G35" s="26">
        <f>+F35/E35*100%</f>
        <v>1</v>
      </c>
      <c r="H35" s="25">
        <f>46.5694731+46.5694731+142.001392+41.65832125+12.559938+5.58139885</f>
        <v>294.9399963000001</v>
      </c>
      <c r="I35" s="26">
        <v>1</v>
      </c>
      <c r="J35" s="24" t="s">
        <v>31</v>
      </c>
    </row>
    <row r="36" spans="1:10" s="10" customFormat="1" ht="51" customHeight="1">
      <c r="A36" s="22">
        <f>+'[1]2-шакл'!A34</f>
        <v>15</v>
      </c>
      <c r="B36" s="23" t="s">
        <v>97</v>
      </c>
      <c r="C36" s="27">
        <v>1</v>
      </c>
      <c r="D36" s="25">
        <v>544.618309</v>
      </c>
      <c r="E36" s="4">
        <v>567.387603</v>
      </c>
      <c r="F36" s="4">
        <v>567.387603</v>
      </c>
      <c r="G36" s="26">
        <f>+F36/E36*100%</f>
        <v>1</v>
      </c>
      <c r="H36" s="25">
        <f>430.21628005+29.3915024+11.7954785+20.93077305+46.683966</f>
        <v>539.018</v>
      </c>
      <c r="I36" s="26">
        <v>1</v>
      </c>
      <c r="J36" s="24" t="s">
        <v>32</v>
      </c>
    </row>
    <row r="37" spans="1:10" s="47" customFormat="1" ht="24" customHeight="1">
      <c r="A37" s="19"/>
      <c r="B37" s="16" t="s">
        <v>137</v>
      </c>
      <c r="C37" s="30"/>
      <c r="D37" s="29"/>
      <c r="E37" s="5"/>
      <c r="F37" s="5"/>
      <c r="G37" s="5"/>
      <c r="H37" s="25"/>
      <c r="I37" s="29"/>
      <c r="J37" s="30"/>
    </row>
    <row r="38" spans="1:10" s="10" customFormat="1" ht="51" customHeight="1">
      <c r="A38" s="22">
        <f>+'[1]2-шакл'!A35</f>
        <v>16</v>
      </c>
      <c r="B38" s="23" t="s">
        <v>98</v>
      </c>
      <c r="C38" s="27">
        <v>1</v>
      </c>
      <c r="D38" s="25">
        <v>346.774704</v>
      </c>
      <c r="E38" s="4">
        <v>359.131566</v>
      </c>
      <c r="F38" s="4">
        <v>359.131566</v>
      </c>
      <c r="G38" s="26">
        <f>+F38/E38*100%</f>
        <v>1</v>
      </c>
      <c r="H38" s="25">
        <f>317.7394698+17.058749+6.3767689</f>
        <v>341.1749877</v>
      </c>
      <c r="I38" s="26">
        <v>1</v>
      </c>
      <c r="J38" s="24" t="s">
        <v>38</v>
      </c>
    </row>
    <row r="39" spans="1:10" s="47" customFormat="1" ht="24" customHeight="1">
      <c r="A39" s="19"/>
      <c r="B39" s="16" t="s">
        <v>138</v>
      </c>
      <c r="C39" s="30"/>
      <c r="D39" s="29"/>
      <c r="E39" s="5"/>
      <c r="F39" s="5"/>
      <c r="G39" s="5"/>
      <c r="H39" s="25"/>
      <c r="I39" s="29"/>
      <c r="J39" s="30"/>
    </row>
    <row r="40" spans="1:10" s="10" customFormat="1" ht="51" customHeight="1">
      <c r="A40" s="22">
        <f>+'[1]2-шакл'!A36</f>
        <v>17</v>
      </c>
      <c r="B40" s="23" t="s">
        <v>99</v>
      </c>
      <c r="C40" s="27">
        <v>1</v>
      </c>
      <c r="D40" s="25">
        <v>503.742145</v>
      </c>
      <c r="E40" s="4">
        <v>524.360262</v>
      </c>
      <c r="F40" s="4">
        <v>524.360262</v>
      </c>
      <c r="G40" s="26">
        <f>+F40/E40*100%</f>
        <v>1</v>
      </c>
      <c r="H40" s="25">
        <f>398.141937685+80.14835645+15.27055+4.58109355</f>
        <v>498.141937685</v>
      </c>
      <c r="I40" s="26">
        <v>1</v>
      </c>
      <c r="J40" s="24" t="s">
        <v>33</v>
      </c>
    </row>
    <row r="41" spans="1:10" s="10" customFormat="1" ht="51" customHeight="1">
      <c r="A41" s="22">
        <f>+'[1]2-шакл'!A37</f>
        <v>18</v>
      </c>
      <c r="B41" s="23" t="s">
        <v>100</v>
      </c>
      <c r="C41" s="27">
        <v>1</v>
      </c>
      <c r="D41" s="25">
        <v>336.534612</v>
      </c>
      <c r="E41" s="4">
        <v>348.352122</v>
      </c>
      <c r="F41" s="4">
        <v>348.352122</v>
      </c>
      <c r="G41" s="26">
        <f>+F41/E41*100%</f>
        <v>1</v>
      </c>
      <c r="H41" s="25">
        <f>271.7857808+47.540012+11.6087231</f>
        <v>330.9345159</v>
      </c>
      <c r="I41" s="26">
        <v>1</v>
      </c>
      <c r="J41" s="24" t="s">
        <v>34</v>
      </c>
    </row>
    <row r="42" spans="1:10" s="10" customFormat="1" ht="51" customHeight="1">
      <c r="A42" s="22">
        <f>+'[1]2-шакл'!A38</f>
        <v>19</v>
      </c>
      <c r="B42" s="23" t="s">
        <v>101</v>
      </c>
      <c r="C42" s="27">
        <v>1</v>
      </c>
      <c r="D42" s="25">
        <v>524.031312</v>
      </c>
      <c r="E42" s="4">
        <v>545.716873</v>
      </c>
      <c r="F42" s="4">
        <v>545.716873</v>
      </c>
      <c r="G42" s="26">
        <f>+F42/E42*100%</f>
        <v>1</v>
      </c>
      <c r="H42" s="25">
        <f>383.7150619+59.63389285+57.92957885+17.1524664</f>
        <v>518.431</v>
      </c>
      <c r="I42" s="26">
        <v>1</v>
      </c>
      <c r="J42" s="24" t="s">
        <v>33</v>
      </c>
    </row>
    <row r="43" spans="1:10" s="10" customFormat="1" ht="51" customHeight="1">
      <c r="A43" s="22">
        <f>+'[1]2-шакл'!A39</f>
        <v>20</v>
      </c>
      <c r="B43" s="23" t="s">
        <v>105</v>
      </c>
      <c r="C43" s="27">
        <v>1</v>
      </c>
      <c r="D43" s="25">
        <v>404.734894</v>
      </c>
      <c r="E43" s="4">
        <v>420.142147</v>
      </c>
      <c r="F43" s="4">
        <v>420.142147</v>
      </c>
      <c r="G43" s="26">
        <f>+F43/E43*100%</f>
        <v>1</v>
      </c>
      <c r="H43" s="25">
        <f>358.89105015+34.0391953+6.20475455</f>
        <v>399.13500000000005</v>
      </c>
      <c r="I43" s="26">
        <v>1</v>
      </c>
      <c r="J43" s="24" t="s">
        <v>35</v>
      </c>
    </row>
    <row r="44" spans="1:10" s="47" customFormat="1" ht="24" customHeight="1">
      <c r="A44" s="19"/>
      <c r="B44" s="16" t="s">
        <v>111</v>
      </c>
      <c r="C44" s="30"/>
      <c r="D44" s="29"/>
      <c r="E44" s="5"/>
      <c r="F44" s="5"/>
      <c r="G44" s="5"/>
      <c r="H44" s="25"/>
      <c r="I44" s="29"/>
      <c r="J44" s="30"/>
    </row>
    <row r="45" spans="1:10" s="10" customFormat="1" ht="51" customHeight="1">
      <c r="A45" s="22">
        <f>+'[1]2-шакл'!A40</f>
        <v>21</v>
      </c>
      <c r="B45" s="23" t="s">
        <v>102</v>
      </c>
      <c r="C45" s="27">
        <v>1</v>
      </c>
      <c r="D45" s="25">
        <v>143.565687</v>
      </c>
      <c r="E45" s="4">
        <v>137.858618</v>
      </c>
      <c r="F45" s="4">
        <v>137.858618</v>
      </c>
      <c r="G45" s="26">
        <f>+F45/E45*100%</f>
        <v>1</v>
      </c>
      <c r="H45" s="25">
        <f>108.56366105+17.2323275+5.16969855</f>
        <v>130.9656871</v>
      </c>
      <c r="I45" s="26">
        <v>1</v>
      </c>
      <c r="J45" s="24" t="s">
        <v>12</v>
      </c>
    </row>
    <row r="46" spans="1:10" s="47" customFormat="1" ht="24" customHeight="1">
      <c r="A46" s="19"/>
      <c r="B46" s="16" t="s">
        <v>112</v>
      </c>
      <c r="C46" s="30"/>
      <c r="D46" s="29"/>
      <c r="E46" s="5"/>
      <c r="F46" s="5"/>
      <c r="G46" s="5"/>
      <c r="H46" s="25"/>
      <c r="I46" s="29"/>
      <c r="J46" s="30"/>
    </row>
    <row r="47" spans="1:10" s="10" customFormat="1" ht="51" customHeight="1">
      <c r="A47" s="22">
        <f>+'[1]2-шакл'!A41</f>
        <v>22</v>
      </c>
      <c r="B47" s="23" t="s">
        <v>104</v>
      </c>
      <c r="C47" s="27">
        <v>1</v>
      </c>
      <c r="D47" s="25">
        <v>462.11344465</v>
      </c>
      <c r="E47" s="4">
        <v>473.172047</v>
      </c>
      <c r="F47" s="4">
        <v>473.172047</v>
      </c>
      <c r="G47" s="26">
        <f aca="true" t="shared" si="1" ref="G47:G53">+F47/E47*100%</f>
        <v>1</v>
      </c>
      <c r="H47" s="25">
        <f>269.1076925+148.34924125+32.05606625</f>
        <v>449.513</v>
      </c>
      <c r="I47" s="26">
        <v>1</v>
      </c>
      <c r="J47" s="24" t="s">
        <v>75</v>
      </c>
    </row>
    <row r="48" spans="1:10" s="10" customFormat="1" ht="51" customHeight="1">
      <c r="A48" s="22">
        <f>+'[1]2-шакл'!A42</f>
        <v>23</v>
      </c>
      <c r="B48" s="23" t="s">
        <v>103</v>
      </c>
      <c r="C48" s="27">
        <v>1</v>
      </c>
      <c r="D48" s="25">
        <v>504</v>
      </c>
      <c r="E48" s="4">
        <v>1092.608831</v>
      </c>
      <c r="F48" s="4">
        <v>480.492045</v>
      </c>
      <c r="G48" s="26">
        <f t="shared" si="1"/>
        <v>0.4397658442502558</v>
      </c>
      <c r="H48" s="25">
        <f>327.7826493+152.2173507</f>
        <v>480</v>
      </c>
      <c r="I48" s="26">
        <f>+H48/E48*100%</f>
        <v>0.43931550467213826</v>
      </c>
      <c r="J48" s="24" t="s">
        <v>145</v>
      </c>
    </row>
    <row r="49" spans="1:10" s="10" customFormat="1" ht="24" customHeight="1">
      <c r="A49" s="19"/>
      <c r="B49" s="16" t="s">
        <v>110</v>
      </c>
      <c r="C49" s="28">
        <f>SUM(C50:C53)</f>
        <v>4</v>
      </c>
      <c r="D49" s="34">
        <f>SUM(D50:D53)</f>
        <v>289.80006425</v>
      </c>
      <c r="E49" s="35">
        <f>SUM(E50:E53)</f>
        <v>294.951914</v>
      </c>
      <c r="F49" s="35">
        <f>SUM(F50:F53)</f>
        <v>294.951913</v>
      </c>
      <c r="G49" s="9">
        <f t="shared" si="1"/>
        <v>0.9999999966096168</v>
      </c>
      <c r="H49" s="35">
        <f>SUM(H50:H53)</f>
        <v>280.20378291</v>
      </c>
      <c r="I49" s="9">
        <f>+H49/E49*100%</f>
        <v>0.949998184822764</v>
      </c>
      <c r="J49" s="36"/>
    </row>
    <row r="50" spans="1:10" s="10" customFormat="1" ht="69" customHeight="1">
      <c r="A50" s="22">
        <f>+'[1]2-шакл'!A44</f>
        <v>24</v>
      </c>
      <c r="B50" s="23" t="s">
        <v>106</v>
      </c>
      <c r="C50" s="27">
        <v>1</v>
      </c>
      <c r="D50" s="40">
        <v>93</v>
      </c>
      <c r="E50" s="41">
        <v>90</v>
      </c>
      <c r="F50" s="41">
        <v>90</v>
      </c>
      <c r="G50" s="26">
        <f t="shared" si="1"/>
        <v>1</v>
      </c>
      <c r="H50" s="25">
        <f>27+58.5</f>
        <v>85.5</v>
      </c>
      <c r="I50" s="26">
        <v>1</v>
      </c>
      <c r="J50" s="24" t="s">
        <v>36</v>
      </c>
    </row>
    <row r="51" spans="1:10" s="10" customFormat="1" ht="68.25" customHeight="1">
      <c r="A51" s="22">
        <f>+'[1]2-шакл'!A45</f>
        <v>25</v>
      </c>
      <c r="B51" s="23" t="s">
        <v>107</v>
      </c>
      <c r="C51" s="27">
        <v>1</v>
      </c>
      <c r="D51" s="25">
        <v>64.8178515</v>
      </c>
      <c r="E51" s="4">
        <v>66.65069</v>
      </c>
      <c r="F51" s="4">
        <v>66.65069</v>
      </c>
      <c r="G51" s="26">
        <f t="shared" si="1"/>
        <v>1</v>
      </c>
      <c r="H51" s="25">
        <f>56.83647295+6.48152705</f>
        <v>63.318</v>
      </c>
      <c r="I51" s="26">
        <v>1</v>
      </c>
      <c r="J51" s="24" t="s">
        <v>37</v>
      </c>
    </row>
    <row r="52" spans="1:10" s="10" customFormat="1" ht="69" customHeight="1">
      <c r="A52" s="22">
        <f>+'[1]2-шакл'!A46</f>
        <v>26</v>
      </c>
      <c r="B52" s="23" t="s">
        <v>108</v>
      </c>
      <c r="C52" s="27">
        <v>1</v>
      </c>
      <c r="D52" s="25">
        <v>59.13337985</v>
      </c>
      <c r="E52" s="4">
        <v>62.245663</v>
      </c>
      <c r="F52" s="4">
        <v>62.245662</v>
      </c>
      <c r="G52" s="26">
        <f t="shared" si="1"/>
        <v>0.9999999839346237</v>
      </c>
      <c r="H52" s="25">
        <f>18.6736989+40.4593011</f>
        <v>59.132999999999996</v>
      </c>
      <c r="I52" s="26">
        <v>1</v>
      </c>
      <c r="J52" s="27" t="s">
        <v>142</v>
      </c>
    </row>
    <row r="53" spans="1:10" s="10" customFormat="1" ht="69" customHeight="1">
      <c r="A53" s="22">
        <f>+'[1]2-шакл'!A47</f>
        <v>27</v>
      </c>
      <c r="B53" s="23" t="s">
        <v>109</v>
      </c>
      <c r="C53" s="27">
        <v>1</v>
      </c>
      <c r="D53" s="25">
        <v>72.8488329</v>
      </c>
      <c r="E53" s="4">
        <v>76.055561</v>
      </c>
      <c r="F53" s="4">
        <v>76.055561</v>
      </c>
      <c r="G53" s="26">
        <f t="shared" si="1"/>
        <v>1</v>
      </c>
      <c r="H53" s="25">
        <f>22.8166683+49.43611461</f>
        <v>72.25278291</v>
      </c>
      <c r="I53" s="26">
        <v>1</v>
      </c>
      <c r="J53" s="27" t="s">
        <v>142</v>
      </c>
    </row>
    <row r="54" spans="1:10" s="10" customFormat="1" ht="33" customHeight="1">
      <c r="A54" s="42"/>
      <c r="B54" s="43" t="s">
        <v>139</v>
      </c>
      <c r="C54" s="42"/>
      <c r="D54" s="44">
        <v>261.457487384499</v>
      </c>
      <c r="E54" s="7"/>
      <c r="F54" s="5">
        <v>81.225072</v>
      </c>
      <c r="G54" s="4"/>
      <c r="H54" s="5">
        <v>81.225072</v>
      </c>
      <c r="I54" s="25"/>
      <c r="J54" s="45"/>
    </row>
    <row r="55" spans="1:10" s="10" customFormat="1" ht="33" customHeight="1">
      <c r="A55" s="42"/>
      <c r="B55" s="43" t="s">
        <v>140</v>
      </c>
      <c r="C55" s="42"/>
      <c r="D55" s="44">
        <v>76.378</v>
      </c>
      <c r="E55" s="7"/>
      <c r="F55" s="6"/>
      <c r="G55" s="6"/>
      <c r="H55" s="46"/>
      <c r="I55" s="46"/>
      <c r="J55" s="45"/>
    </row>
  </sheetData>
  <sheetProtection/>
  <mergeCells count="14">
    <mergeCell ref="A1:J1"/>
    <mergeCell ref="H2:J2"/>
    <mergeCell ref="A3:A5"/>
    <mergeCell ref="B3:B5"/>
    <mergeCell ref="C3:C5"/>
    <mergeCell ref="D3:D5"/>
    <mergeCell ref="E3:E5"/>
    <mergeCell ref="F3:G3"/>
    <mergeCell ref="H3:I3"/>
    <mergeCell ref="J3:J5"/>
    <mergeCell ref="F4:F5"/>
    <mergeCell ref="G4:G5"/>
    <mergeCell ref="H4:H5"/>
    <mergeCell ref="I4:I5"/>
  </mergeCells>
  <printOptions/>
  <pageMargins left="0.7874015748031497" right="0" top="0.35433070866141736" bottom="0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SheetLayoutView="100" zoomScalePageLayoutView="0" workbookViewId="0" topLeftCell="B1">
      <selection activeCell="H3" sqref="H3:I3"/>
    </sheetView>
  </sheetViews>
  <sheetFormatPr defaultColWidth="9.140625" defaultRowHeight="15"/>
  <cols>
    <col min="1" max="1" width="5.57421875" style="1" customWidth="1"/>
    <col min="2" max="2" width="43.7109375" style="1" customWidth="1"/>
    <col min="3" max="3" width="11.140625" style="1" customWidth="1"/>
    <col min="4" max="5" width="19.28125" style="1" customWidth="1"/>
    <col min="6" max="6" width="16.140625" style="3" customWidth="1"/>
    <col min="7" max="7" width="13.28125" style="3" customWidth="1"/>
    <col min="8" max="8" width="16.421875" style="3" customWidth="1"/>
    <col min="9" max="9" width="13.00390625" style="3" customWidth="1"/>
    <col min="10" max="10" width="28.7109375" style="1" customWidth="1"/>
    <col min="11" max="16384" width="9.140625" style="1" customWidth="1"/>
  </cols>
  <sheetData>
    <row r="1" spans="1:10" ht="52.5" customHeight="1">
      <c r="A1" s="54" t="s">
        <v>143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3.5" customHeight="1">
      <c r="A2" s="10"/>
      <c r="B2" s="11"/>
      <c r="C2" s="12"/>
      <c r="D2" s="13"/>
      <c r="E2" s="13"/>
      <c r="F2" s="14"/>
      <c r="G2" s="14"/>
      <c r="H2" s="55" t="s">
        <v>227</v>
      </c>
      <c r="I2" s="55"/>
      <c r="J2" s="55"/>
    </row>
    <row r="3" spans="1:10" s="2" customFormat="1" ht="51" customHeight="1">
      <c r="A3" s="56" t="s">
        <v>146</v>
      </c>
      <c r="B3" s="57" t="s">
        <v>147</v>
      </c>
      <c r="C3" s="57" t="s">
        <v>148</v>
      </c>
      <c r="D3" s="57" t="s">
        <v>149</v>
      </c>
      <c r="E3" s="58" t="s">
        <v>150</v>
      </c>
      <c r="F3" s="61" t="s">
        <v>151</v>
      </c>
      <c r="G3" s="62"/>
      <c r="H3" s="61" t="s">
        <v>153</v>
      </c>
      <c r="I3" s="62"/>
      <c r="J3" s="58" t="s">
        <v>154</v>
      </c>
    </row>
    <row r="4" spans="1:10" s="2" customFormat="1" ht="15" customHeight="1">
      <c r="A4" s="56"/>
      <c r="B4" s="57"/>
      <c r="C4" s="57"/>
      <c r="D4" s="57"/>
      <c r="E4" s="59"/>
      <c r="F4" s="53" t="s">
        <v>152</v>
      </c>
      <c r="G4" s="53" t="s">
        <v>78</v>
      </c>
      <c r="H4" s="53" t="s">
        <v>152</v>
      </c>
      <c r="I4" s="53" t="s">
        <v>78</v>
      </c>
      <c r="J4" s="59"/>
    </row>
    <row r="5" spans="1:10" s="2" customFormat="1" ht="15" customHeight="1">
      <c r="A5" s="56"/>
      <c r="B5" s="57"/>
      <c r="C5" s="57"/>
      <c r="D5" s="57"/>
      <c r="E5" s="60"/>
      <c r="F5" s="53"/>
      <c r="G5" s="53"/>
      <c r="H5" s="53"/>
      <c r="I5" s="53"/>
      <c r="J5" s="60"/>
    </row>
    <row r="6" spans="1:10" s="47" customFormat="1" ht="29.25" customHeight="1">
      <c r="A6" s="15"/>
      <c r="B6" s="16" t="s">
        <v>173</v>
      </c>
      <c r="C6" s="17">
        <f>+C8+C12+C54+C55</f>
        <v>30</v>
      </c>
      <c r="D6" s="18">
        <f>+D8+D12+D54+D55</f>
        <v>10999.999977834499</v>
      </c>
      <c r="E6" s="18">
        <f>+E8+E12+E54+E55</f>
        <v>13212.517700999999</v>
      </c>
      <c r="F6" s="18">
        <f>+F8+F12+F54+F55</f>
        <v>11516.834537000002</v>
      </c>
      <c r="G6" s="8">
        <f>+F6/E6*100%</f>
        <v>0.8716608596201421</v>
      </c>
      <c r="H6" s="18">
        <f>+H8+H12+H54+H55</f>
        <v>10461.717201354999</v>
      </c>
      <c r="I6" s="8">
        <f>+H6/D6*100%</f>
        <v>0.9510652020396214</v>
      </c>
      <c r="J6" s="49"/>
    </row>
    <row r="7" spans="1:10" s="47" customFormat="1" ht="15.75">
      <c r="A7" s="15"/>
      <c r="B7" s="20" t="s">
        <v>174</v>
      </c>
      <c r="C7" s="49"/>
      <c r="D7" s="18"/>
      <c r="E7" s="18"/>
      <c r="F7" s="21"/>
      <c r="G7" s="8"/>
      <c r="H7" s="18"/>
      <c r="I7" s="18"/>
      <c r="J7" s="49"/>
    </row>
    <row r="8" spans="1:10" s="47" customFormat="1" ht="24" customHeight="1">
      <c r="A8" s="15"/>
      <c r="B8" s="16" t="s">
        <v>175</v>
      </c>
      <c r="C8" s="17">
        <f>SUM(C9:C11)</f>
        <v>3</v>
      </c>
      <c r="D8" s="18">
        <f>SUM(D9:D11)</f>
        <v>1381.8950840000002</v>
      </c>
      <c r="E8" s="21">
        <f>SUM(E9:E11)</f>
        <v>2042.288867</v>
      </c>
      <c r="F8" s="21">
        <f>SUM(F9:F11)</f>
        <v>2026.637758</v>
      </c>
      <c r="G8" s="8">
        <f>+F8/E8*100%</f>
        <v>0.9923364861587918</v>
      </c>
      <c r="H8" s="21">
        <f>SUM(H9:H11)</f>
        <v>1357.72206245</v>
      </c>
      <c r="I8" s="8">
        <f aca="true" t="shared" si="0" ref="I8:I13">+H8/D8*100%</f>
        <v>0.982507339500746</v>
      </c>
      <c r="J8" s="51"/>
    </row>
    <row r="9" spans="1:10" s="10" customFormat="1" ht="48" customHeight="1">
      <c r="A9" s="22">
        <v>1</v>
      </c>
      <c r="B9" s="23" t="s">
        <v>176</v>
      </c>
      <c r="C9" s="24">
        <v>1</v>
      </c>
      <c r="D9" s="25">
        <v>973.5983</v>
      </c>
      <c r="E9" s="4">
        <v>1208.247854</v>
      </c>
      <c r="F9" s="4">
        <v>1192.596745</v>
      </c>
      <c r="G9" s="52">
        <f>+F9/E9*100%</f>
        <v>0.9870464417145988</v>
      </c>
      <c r="H9" s="25">
        <f>181.2371781+236.20433525+119.08468585+387.87259485+32.0262683</f>
        <v>956.4250623500001</v>
      </c>
      <c r="I9" s="52">
        <f t="shared" si="0"/>
        <v>0.9823610644657043</v>
      </c>
      <c r="J9" s="24" t="s">
        <v>155</v>
      </c>
    </row>
    <row r="10" spans="1:10" s="10" customFormat="1" ht="48" customHeight="1">
      <c r="A10" s="22">
        <v>2</v>
      </c>
      <c r="B10" s="23" t="s">
        <v>180</v>
      </c>
      <c r="C10" s="24">
        <v>1</v>
      </c>
      <c r="D10" s="25">
        <v>375</v>
      </c>
      <c r="E10" s="4">
        <v>460</v>
      </c>
      <c r="F10" s="4">
        <v>460</v>
      </c>
      <c r="G10" s="26">
        <f>+F10/E10*100%</f>
        <v>1</v>
      </c>
      <c r="H10" s="25">
        <f>338.622851+29.3771491</f>
        <v>368.0000001</v>
      </c>
      <c r="I10" s="26">
        <v>1</v>
      </c>
      <c r="J10" s="24" t="s">
        <v>156</v>
      </c>
    </row>
    <row r="11" spans="1:10" s="14" customFormat="1" ht="51" customHeight="1">
      <c r="A11" s="27">
        <v>3</v>
      </c>
      <c r="B11" s="23" t="s">
        <v>181</v>
      </c>
      <c r="C11" s="24">
        <v>1</v>
      </c>
      <c r="D11" s="25">
        <v>33.296784</v>
      </c>
      <c r="E11" s="4">
        <v>374.041013</v>
      </c>
      <c r="F11" s="4">
        <v>374.041013</v>
      </c>
      <c r="G11" s="26">
        <f>+F11/E11*100%</f>
        <v>1</v>
      </c>
      <c r="H11" s="25">
        <v>33.297</v>
      </c>
      <c r="I11" s="26">
        <f t="shared" si="0"/>
        <v>1.0000064871129895</v>
      </c>
      <c r="J11" s="24" t="s">
        <v>157</v>
      </c>
    </row>
    <row r="12" spans="1:10" s="47" customFormat="1" ht="24" customHeight="1">
      <c r="A12" s="49"/>
      <c r="B12" s="16" t="s">
        <v>182</v>
      </c>
      <c r="C12" s="28">
        <f>+C13+C49</f>
        <v>27</v>
      </c>
      <c r="D12" s="29">
        <f>+D13+D49</f>
        <v>9280.26940645</v>
      </c>
      <c r="E12" s="29">
        <f>+E13+E49+E54</f>
        <v>11170.228834</v>
      </c>
      <c r="F12" s="29">
        <f>+F13+F49</f>
        <v>9408.971707000002</v>
      </c>
      <c r="G12" s="8">
        <f>+F12/D12*100%</f>
        <v>1.0138683797757586</v>
      </c>
      <c r="H12" s="29">
        <f>+H13+H49</f>
        <v>9022.770066905</v>
      </c>
      <c r="I12" s="8">
        <f t="shared" si="0"/>
        <v>0.972253031860688</v>
      </c>
      <c r="J12" s="30"/>
    </row>
    <row r="13" spans="1:10" s="48" customFormat="1" ht="21" customHeight="1">
      <c r="A13" s="31"/>
      <c r="B13" s="32" t="s">
        <v>183</v>
      </c>
      <c r="C13" s="33">
        <f>SUM(C15:C48)</f>
        <v>23</v>
      </c>
      <c r="D13" s="34">
        <f>SUM(D15:D48)</f>
        <v>8990.4693422</v>
      </c>
      <c r="E13" s="35">
        <f>SUM(E15:E48)</f>
        <v>10875.27692</v>
      </c>
      <c r="F13" s="35">
        <f>SUM(F15:F48)</f>
        <v>9114.019794000002</v>
      </c>
      <c r="G13" s="9">
        <f>+F13/D13*100%</f>
        <v>1.013742380636356</v>
      </c>
      <c r="H13" s="35">
        <f>SUM(H15:H48)</f>
        <v>8742.566283995</v>
      </c>
      <c r="I13" s="9">
        <f t="shared" si="0"/>
        <v>0.9724260159543198</v>
      </c>
      <c r="J13" s="36"/>
    </row>
    <row r="14" spans="1:10" s="47" customFormat="1" ht="24" customHeight="1">
      <c r="A14" s="49"/>
      <c r="B14" s="16" t="s">
        <v>184</v>
      </c>
      <c r="C14" s="30"/>
      <c r="D14" s="29"/>
      <c r="E14" s="5"/>
      <c r="F14" s="5"/>
      <c r="G14" s="37"/>
      <c r="H14" s="29"/>
      <c r="I14" s="38"/>
      <c r="J14" s="30"/>
    </row>
    <row r="15" spans="1:10" s="10" customFormat="1" ht="51" customHeight="1">
      <c r="A15" s="22">
        <f>+'[1]2-шакл'!A20</f>
        <v>1</v>
      </c>
      <c r="B15" s="23" t="s">
        <v>185</v>
      </c>
      <c r="C15" s="27">
        <v>1</v>
      </c>
      <c r="D15" s="25">
        <v>324.533477</v>
      </c>
      <c r="E15" s="4">
        <v>335.719449</v>
      </c>
      <c r="F15" s="4">
        <v>335.719449</v>
      </c>
      <c r="G15" s="26">
        <f>+F15/E15*100%</f>
        <v>1</v>
      </c>
      <c r="H15" s="25">
        <f>293.38611975+20.50979328+5.03708697</f>
        <v>318.933</v>
      </c>
      <c r="I15" s="26">
        <v>1</v>
      </c>
      <c r="J15" s="24" t="s">
        <v>158</v>
      </c>
    </row>
    <row r="16" spans="1:10" s="10" customFormat="1" ht="51" customHeight="1">
      <c r="A16" s="22">
        <f>+'[1]2-шакл'!A21</f>
        <v>2</v>
      </c>
      <c r="B16" s="23" t="s">
        <v>186</v>
      </c>
      <c r="C16" s="27">
        <v>1</v>
      </c>
      <c r="D16" s="25">
        <v>326.689343</v>
      </c>
      <c r="E16" s="4">
        <v>337.988308</v>
      </c>
      <c r="F16" s="4">
        <v>337.988308</v>
      </c>
      <c r="G16" s="26">
        <f>+F16/E16*100%</f>
        <v>1</v>
      </c>
      <c r="H16" s="25">
        <f>306.14539689+8.9660979+5.97739827</f>
        <v>321.08889306</v>
      </c>
      <c r="I16" s="26">
        <v>1</v>
      </c>
      <c r="J16" s="24" t="s">
        <v>159</v>
      </c>
    </row>
    <row r="17" spans="1:10" s="47" customFormat="1" ht="24" customHeight="1">
      <c r="A17" s="49"/>
      <c r="B17" s="16" t="s">
        <v>188</v>
      </c>
      <c r="C17" s="30"/>
      <c r="D17" s="29"/>
      <c r="E17" s="5"/>
      <c r="F17" s="5"/>
      <c r="G17" s="5"/>
      <c r="H17" s="25"/>
      <c r="I17" s="29"/>
      <c r="J17" s="30"/>
    </row>
    <row r="18" spans="1:10" s="10" customFormat="1" ht="51" customHeight="1">
      <c r="A18" s="22">
        <f>+'[1]2-шакл'!A22</f>
        <v>3</v>
      </c>
      <c r="B18" s="23" t="s">
        <v>187</v>
      </c>
      <c r="C18" s="27">
        <v>1</v>
      </c>
      <c r="D18" s="25">
        <v>377.006309</v>
      </c>
      <c r="E18" s="4">
        <v>383.585588</v>
      </c>
      <c r="F18" s="4">
        <v>383.585588</v>
      </c>
      <c r="G18" s="26">
        <f>+F18/E18*100%</f>
        <v>1</v>
      </c>
      <c r="H18" s="25">
        <f>115.0756764+241.65892044+7.67140316</f>
        <v>364.406</v>
      </c>
      <c r="I18" s="26">
        <v>1</v>
      </c>
      <c r="J18" s="24" t="s">
        <v>160</v>
      </c>
    </row>
    <row r="19" spans="1:10" s="47" customFormat="1" ht="24" customHeight="1">
      <c r="A19" s="49"/>
      <c r="B19" s="16" t="s">
        <v>189</v>
      </c>
      <c r="C19" s="30"/>
      <c r="D19" s="29"/>
      <c r="E19" s="5"/>
      <c r="F19" s="5"/>
      <c r="G19" s="5"/>
      <c r="H19" s="25"/>
      <c r="I19" s="29"/>
      <c r="J19" s="30"/>
    </row>
    <row r="20" spans="1:10" s="14" customFormat="1" ht="51" customHeight="1">
      <c r="A20" s="27">
        <f>+'[1]2-шакл'!A23</f>
        <v>4</v>
      </c>
      <c r="B20" s="23" t="s">
        <v>201</v>
      </c>
      <c r="C20" s="27">
        <v>1</v>
      </c>
      <c r="D20" s="25">
        <v>396.4986638</v>
      </c>
      <c r="E20" s="4">
        <v>405.682804</v>
      </c>
      <c r="F20" s="4">
        <v>404.057165</v>
      </c>
      <c r="G20" s="26">
        <f>+F20/E20*100%</f>
        <v>0.9959928323705829</v>
      </c>
      <c r="H20" s="25">
        <f>221.7048412+39.131444+85.01098385+39.55139475</f>
        <v>385.3986638</v>
      </c>
      <c r="I20" s="26">
        <v>1</v>
      </c>
      <c r="J20" s="24" t="s">
        <v>161</v>
      </c>
    </row>
    <row r="21" spans="1:10" s="14" customFormat="1" ht="51" customHeight="1">
      <c r="A21" s="27">
        <f>+'[1]2-шакл'!A24</f>
        <v>5</v>
      </c>
      <c r="B21" s="23" t="s">
        <v>216</v>
      </c>
      <c r="C21" s="27">
        <v>1</v>
      </c>
      <c r="D21" s="25">
        <v>402.401508</v>
      </c>
      <c r="E21" s="4">
        <v>411.896851</v>
      </c>
      <c r="F21" s="4">
        <v>410.60609</v>
      </c>
      <c r="G21" s="26">
        <f>+F21/E21*100%</f>
        <v>0.9968663003932505</v>
      </c>
      <c r="H21" s="25">
        <f>123.5690553+229.2905654+34.710825+3.7315543</f>
        <v>391.302</v>
      </c>
      <c r="I21" s="26">
        <v>1</v>
      </c>
      <c r="J21" s="24" t="s">
        <v>162</v>
      </c>
    </row>
    <row r="22" spans="1:10" s="47" customFormat="1" ht="24" customHeight="1">
      <c r="A22" s="49"/>
      <c r="B22" s="16" t="s">
        <v>190</v>
      </c>
      <c r="C22" s="30"/>
      <c r="D22" s="29"/>
      <c r="E22" s="5"/>
      <c r="F22" s="5"/>
      <c r="G22" s="5"/>
      <c r="H22" s="25"/>
      <c r="I22" s="29"/>
      <c r="J22" s="30"/>
    </row>
    <row r="23" spans="1:10" s="10" customFormat="1" ht="51" customHeight="1">
      <c r="A23" s="22">
        <f>+'[1]2-шакл'!A25</f>
        <v>6</v>
      </c>
      <c r="B23" s="23" t="s">
        <v>191</v>
      </c>
      <c r="C23" s="27">
        <v>1</v>
      </c>
      <c r="D23" s="25">
        <v>312.3884182</v>
      </c>
      <c r="E23" s="4">
        <v>315.566756</v>
      </c>
      <c r="F23" s="4">
        <v>315.566756</v>
      </c>
      <c r="G23" s="26">
        <f>+F23/E23*100%</f>
        <v>1</v>
      </c>
      <c r="H23" s="25">
        <f>194.82120648+35.47020947+64.151079+5.34550505</f>
        <v>299.78799999999995</v>
      </c>
      <c r="I23" s="26">
        <v>1</v>
      </c>
      <c r="J23" s="24" t="s">
        <v>163</v>
      </c>
    </row>
    <row r="24" spans="1:10" s="10" customFormat="1" ht="51" customHeight="1">
      <c r="A24" s="22">
        <f>+'[1]2-шакл'!A26</f>
        <v>7</v>
      </c>
      <c r="B24" s="23" t="s">
        <v>192</v>
      </c>
      <c r="C24" s="27">
        <v>1</v>
      </c>
      <c r="D24" s="25">
        <v>294.1175185</v>
      </c>
      <c r="E24" s="4">
        <v>296.33423</v>
      </c>
      <c r="F24" s="4">
        <v>296.33423</v>
      </c>
      <c r="G24" s="26">
        <f>+F24/E24*100%</f>
        <v>1</v>
      </c>
      <c r="H24" s="25">
        <f>175.6286432+101.00169644+4.88666036</f>
        <v>281.517</v>
      </c>
      <c r="I24" s="26">
        <v>1</v>
      </c>
      <c r="J24" s="24" t="s">
        <v>163</v>
      </c>
    </row>
    <row r="25" spans="1:10" s="14" customFormat="1" ht="51" customHeight="1">
      <c r="A25" s="27">
        <f>+'[1]2-шакл'!A27</f>
        <v>8</v>
      </c>
      <c r="B25" s="23" t="s">
        <v>193</v>
      </c>
      <c r="C25" s="27">
        <v>1</v>
      </c>
      <c r="D25" s="25">
        <v>504</v>
      </c>
      <c r="E25" s="4">
        <v>1102.5</v>
      </c>
      <c r="F25" s="4">
        <v>484.214518</v>
      </c>
      <c r="G25" s="26">
        <f>+F25/E25*100%</f>
        <v>0.439196841723356</v>
      </c>
      <c r="H25" s="25">
        <f>330.75+149.25</f>
        <v>480</v>
      </c>
      <c r="I25" s="26">
        <f>+H25/E25*100%</f>
        <v>0.43537414965986393</v>
      </c>
      <c r="J25" s="25" t="s">
        <v>164</v>
      </c>
    </row>
    <row r="26" spans="1:10" s="47" customFormat="1" ht="24" customHeight="1">
      <c r="A26" s="49"/>
      <c r="B26" s="16" t="s">
        <v>179</v>
      </c>
      <c r="C26" s="30"/>
      <c r="D26" s="29"/>
      <c r="E26" s="5"/>
      <c r="F26" s="5"/>
      <c r="G26" s="5"/>
      <c r="H26" s="25"/>
      <c r="I26" s="29"/>
      <c r="J26" s="30"/>
    </row>
    <row r="27" spans="1:10" s="14" customFormat="1" ht="51" customHeight="1">
      <c r="A27" s="27">
        <f>+'[1]2-шакл'!A28</f>
        <v>9</v>
      </c>
      <c r="B27" s="23" t="s">
        <v>194</v>
      </c>
      <c r="C27" s="27">
        <v>1</v>
      </c>
      <c r="D27" s="25">
        <v>793.732546</v>
      </c>
      <c r="E27" s="4">
        <v>1298.23434</v>
      </c>
      <c r="F27" s="4">
        <v>770.295882</v>
      </c>
      <c r="G27" s="26">
        <f>+F27/E27*100%</f>
        <v>0.5933411698230074</v>
      </c>
      <c r="H27" s="25">
        <f>194.735151+194.735151+380.261698</f>
        <v>769.732</v>
      </c>
      <c r="I27" s="26">
        <f>+H27/E27*100%</f>
        <v>0.5929068245105887</v>
      </c>
      <c r="J27" s="24" t="s">
        <v>217</v>
      </c>
    </row>
    <row r="28" spans="1:10" s="14" customFormat="1" ht="51" customHeight="1">
      <c r="A28" s="27">
        <f>+'[1]2-шакл'!A29</f>
        <v>10</v>
      </c>
      <c r="B28" s="23" t="s">
        <v>195</v>
      </c>
      <c r="C28" s="27">
        <v>1</v>
      </c>
      <c r="D28" s="25">
        <v>333.66671865</v>
      </c>
      <c r="E28" s="4">
        <v>337.964967</v>
      </c>
      <c r="F28" s="4">
        <f>108.749755+156.152213+73.062999</f>
        <v>337.964967</v>
      </c>
      <c r="G28" s="26">
        <f>+F28/E28*100%</f>
        <v>1</v>
      </c>
      <c r="H28" s="25">
        <f>101.3894901+70.68734075+101.498938+47.4909498</f>
        <v>321.06671865000004</v>
      </c>
      <c r="I28" s="26">
        <v>1</v>
      </c>
      <c r="J28" s="24" t="s">
        <v>39</v>
      </c>
    </row>
    <row r="29" spans="1:10" s="47" customFormat="1" ht="24" customHeight="1">
      <c r="A29" s="49"/>
      <c r="B29" s="16" t="s">
        <v>178</v>
      </c>
      <c r="C29" s="30"/>
      <c r="D29" s="29"/>
      <c r="E29" s="5"/>
      <c r="F29" s="5"/>
      <c r="G29" s="5"/>
      <c r="H29" s="25"/>
      <c r="I29" s="29"/>
      <c r="J29" s="30"/>
    </row>
    <row r="30" spans="1:10" s="14" customFormat="1" ht="51" customHeight="1">
      <c r="A30" s="27">
        <f>+'[1]2-шакл'!A30</f>
        <v>11</v>
      </c>
      <c r="B30" s="23" t="s">
        <v>196</v>
      </c>
      <c r="C30" s="27">
        <v>1</v>
      </c>
      <c r="D30" s="25">
        <v>270.9296054</v>
      </c>
      <c r="E30" s="39">
        <v>270.978532</v>
      </c>
      <c r="F30" s="39">
        <v>270.978532</v>
      </c>
      <c r="G30" s="26">
        <f>+F30/E30*100%</f>
        <v>1</v>
      </c>
      <c r="H30" s="25">
        <f>161.2935596+36.490337+59.6457088</f>
        <v>257.4296054</v>
      </c>
      <c r="I30" s="26">
        <v>1</v>
      </c>
      <c r="J30" s="27" t="s">
        <v>165</v>
      </c>
    </row>
    <row r="31" spans="1:10" s="47" customFormat="1" ht="24" customHeight="1">
      <c r="A31" s="49"/>
      <c r="B31" s="16" t="s">
        <v>197</v>
      </c>
      <c r="C31" s="30"/>
      <c r="D31" s="29"/>
      <c r="E31" s="5"/>
      <c r="F31" s="5"/>
      <c r="G31" s="5"/>
      <c r="H31" s="25"/>
      <c r="I31" s="29"/>
      <c r="J31" s="30"/>
    </row>
    <row r="32" spans="1:10" s="10" customFormat="1" ht="51" customHeight="1">
      <c r="A32" s="22">
        <f>+'[1]2-шакл'!A31</f>
        <v>12</v>
      </c>
      <c r="B32" s="23" t="s">
        <v>198</v>
      </c>
      <c r="C32" s="27">
        <v>1</v>
      </c>
      <c r="D32" s="25">
        <v>297.633994</v>
      </c>
      <c r="E32" s="4">
        <v>305.825257</v>
      </c>
      <c r="F32" s="4">
        <v>305.825257</v>
      </c>
      <c r="G32" s="26">
        <f>+F32/E32*100%</f>
        <v>1</v>
      </c>
      <c r="H32" s="25">
        <f>280.3975181+10.13647605</f>
        <v>290.53399415</v>
      </c>
      <c r="I32" s="26">
        <v>1</v>
      </c>
      <c r="J32" s="24" t="s">
        <v>30</v>
      </c>
    </row>
    <row r="33" spans="1:10" s="14" customFormat="1" ht="51" customHeight="1">
      <c r="A33" s="27">
        <f>+'[1]2-шакл'!A32</f>
        <v>13</v>
      </c>
      <c r="B33" s="23" t="s">
        <v>199</v>
      </c>
      <c r="C33" s="27">
        <v>1</v>
      </c>
      <c r="D33" s="25">
        <v>286.216584</v>
      </c>
      <c r="E33" s="4">
        <v>293.806615</v>
      </c>
      <c r="F33" s="4">
        <v>293.806615</v>
      </c>
      <c r="G33" s="26">
        <f>+F33/E33*100%</f>
        <v>1</v>
      </c>
      <c r="H33" s="25">
        <f>178.1419845+44.29659226+50.57395434+6.10375315</f>
        <v>279.11628425</v>
      </c>
      <c r="I33" s="26">
        <v>1</v>
      </c>
      <c r="J33" s="24" t="s">
        <v>30</v>
      </c>
    </row>
    <row r="34" spans="1:10" s="47" customFormat="1" ht="24" customHeight="1">
      <c r="A34" s="49"/>
      <c r="B34" s="16" t="s">
        <v>202</v>
      </c>
      <c r="C34" s="30"/>
      <c r="D34" s="29"/>
      <c r="E34" s="5"/>
      <c r="F34" s="5"/>
      <c r="G34" s="5"/>
      <c r="H34" s="25"/>
      <c r="I34" s="29"/>
      <c r="J34" s="30"/>
    </row>
    <row r="35" spans="1:10" s="14" customFormat="1" ht="51" customHeight="1">
      <c r="A35" s="27">
        <f>+'[1]2-шакл'!A33</f>
        <v>14</v>
      </c>
      <c r="B35" s="23" t="s">
        <v>203</v>
      </c>
      <c r="C35" s="27">
        <v>1</v>
      </c>
      <c r="D35" s="25">
        <v>300.539549</v>
      </c>
      <c r="E35" s="4">
        <v>310.463154</v>
      </c>
      <c r="F35" s="4">
        <v>310.463154</v>
      </c>
      <c r="G35" s="26">
        <f>+F35/E35*100%</f>
        <v>1</v>
      </c>
      <c r="H35" s="25">
        <f>46.5694731+46.5694731+142.001392+41.65832125+12.559938+5.58139885</f>
        <v>294.9399963000001</v>
      </c>
      <c r="I35" s="26">
        <v>1</v>
      </c>
      <c r="J35" s="24" t="s">
        <v>218</v>
      </c>
    </row>
    <row r="36" spans="1:10" s="10" customFormat="1" ht="51" customHeight="1">
      <c r="A36" s="22">
        <f>+'[1]2-шакл'!A34</f>
        <v>15</v>
      </c>
      <c r="B36" s="23" t="s">
        <v>204</v>
      </c>
      <c r="C36" s="27">
        <v>1</v>
      </c>
      <c r="D36" s="25">
        <v>544.618309</v>
      </c>
      <c r="E36" s="4">
        <v>567.387603</v>
      </c>
      <c r="F36" s="4">
        <v>567.387603</v>
      </c>
      <c r="G36" s="26">
        <f>+F36/E36*100%</f>
        <v>1</v>
      </c>
      <c r="H36" s="25">
        <f>430.21628005+29.3915024+11.7954785+20.93077305+46.683966</f>
        <v>539.018</v>
      </c>
      <c r="I36" s="26">
        <v>1</v>
      </c>
      <c r="J36" s="24" t="s">
        <v>219</v>
      </c>
    </row>
    <row r="37" spans="1:10" s="47" customFormat="1" ht="24" customHeight="1">
      <c r="A37" s="49"/>
      <c r="B37" s="16" t="s">
        <v>200</v>
      </c>
      <c r="C37" s="30"/>
      <c r="D37" s="29"/>
      <c r="E37" s="5"/>
      <c r="F37" s="5"/>
      <c r="G37" s="5"/>
      <c r="H37" s="25"/>
      <c r="I37" s="29"/>
      <c r="J37" s="30"/>
    </row>
    <row r="38" spans="1:10" s="10" customFormat="1" ht="51" customHeight="1">
      <c r="A38" s="22">
        <f>+'[1]2-шакл'!A35</f>
        <v>16</v>
      </c>
      <c r="B38" s="23" t="s">
        <v>205</v>
      </c>
      <c r="C38" s="27">
        <v>1</v>
      </c>
      <c r="D38" s="25">
        <v>346.774704</v>
      </c>
      <c r="E38" s="4">
        <v>359.131566</v>
      </c>
      <c r="F38" s="4">
        <v>359.131566</v>
      </c>
      <c r="G38" s="26">
        <f>+F38/E38*100%</f>
        <v>1</v>
      </c>
      <c r="H38" s="25">
        <f>317.7394698+17.058749+6.3767689</f>
        <v>341.1749877</v>
      </c>
      <c r="I38" s="26">
        <v>1</v>
      </c>
      <c r="J38" s="24" t="s">
        <v>166</v>
      </c>
    </row>
    <row r="39" spans="1:10" s="47" customFormat="1" ht="24" customHeight="1">
      <c r="A39" s="49"/>
      <c r="B39" s="16" t="s">
        <v>177</v>
      </c>
      <c r="C39" s="30"/>
      <c r="D39" s="29"/>
      <c r="E39" s="5"/>
      <c r="F39" s="5"/>
      <c r="G39" s="5"/>
      <c r="H39" s="25"/>
      <c r="I39" s="29"/>
      <c r="J39" s="30"/>
    </row>
    <row r="40" spans="1:10" s="10" customFormat="1" ht="51" customHeight="1">
      <c r="A40" s="22">
        <f>+'[1]2-шакл'!A36</f>
        <v>17</v>
      </c>
      <c r="B40" s="23" t="s">
        <v>206</v>
      </c>
      <c r="C40" s="27">
        <v>1</v>
      </c>
      <c r="D40" s="25">
        <v>503.742145</v>
      </c>
      <c r="E40" s="4">
        <v>524.360262</v>
      </c>
      <c r="F40" s="4">
        <v>524.360262</v>
      </c>
      <c r="G40" s="26">
        <f>+F40/E40*100%</f>
        <v>1</v>
      </c>
      <c r="H40" s="25">
        <f>398.141937685+80.14835645+15.27055+4.58109355</f>
        <v>498.141937685</v>
      </c>
      <c r="I40" s="26">
        <v>1</v>
      </c>
      <c r="J40" s="24" t="s">
        <v>167</v>
      </c>
    </row>
    <row r="41" spans="1:10" s="10" customFormat="1" ht="51" customHeight="1">
      <c r="A41" s="22">
        <f>+'[1]2-шакл'!A37</f>
        <v>18</v>
      </c>
      <c r="B41" s="23" t="s">
        <v>207</v>
      </c>
      <c r="C41" s="27">
        <v>1</v>
      </c>
      <c r="D41" s="25">
        <v>336.534612</v>
      </c>
      <c r="E41" s="4">
        <v>348.352122</v>
      </c>
      <c r="F41" s="4">
        <v>348.352122</v>
      </c>
      <c r="G41" s="26">
        <f>+F41/E41*100%</f>
        <v>1</v>
      </c>
      <c r="H41" s="25">
        <f>271.7857808+47.540012+11.6087231</f>
        <v>330.9345159</v>
      </c>
      <c r="I41" s="26">
        <v>1</v>
      </c>
      <c r="J41" s="24" t="s">
        <v>168</v>
      </c>
    </row>
    <row r="42" spans="1:10" s="10" customFormat="1" ht="51" customHeight="1">
      <c r="A42" s="22">
        <f>+'[1]2-шакл'!A38</f>
        <v>19</v>
      </c>
      <c r="B42" s="23" t="s">
        <v>208</v>
      </c>
      <c r="C42" s="27">
        <v>1</v>
      </c>
      <c r="D42" s="25">
        <v>524.031312</v>
      </c>
      <c r="E42" s="4">
        <v>545.716873</v>
      </c>
      <c r="F42" s="4">
        <v>545.716873</v>
      </c>
      <c r="G42" s="26">
        <f>+F42/E42*100%</f>
        <v>1</v>
      </c>
      <c r="H42" s="25">
        <f>383.7150619+59.63389285+57.92957885+17.1524664</f>
        <v>518.431</v>
      </c>
      <c r="I42" s="26">
        <v>1</v>
      </c>
      <c r="J42" s="24" t="s">
        <v>167</v>
      </c>
    </row>
    <row r="43" spans="1:10" s="10" customFormat="1" ht="51" customHeight="1">
      <c r="A43" s="22">
        <f>+'[1]2-шакл'!A39</f>
        <v>20</v>
      </c>
      <c r="B43" s="23" t="s">
        <v>209</v>
      </c>
      <c r="C43" s="27">
        <v>1</v>
      </c>
      <c r="D43" s="25">
        <v>404.734894</v>
      </c>
      <c r="E43" s="4">
        <v>420.142147</v>
      </c>
      <c r="F43" s="4">
        <v>420.142147</v>
      </c>
      <c r="G43" s="26">
        <f>+F43/E43*100%</f>
        <v>1</v>
      </c>
      <c r="H43" s="25">
        <f>358.89105015+34.0391953+6.20475455</f>
        <v>399.13500000000005</v>
      </c>
      <c r="I43" s="26">
        <v>1</v>
      </c>
      <c r="J43" s="24" t="s">
        <v>169</v>
      </c>
    </row>
    <row r="44" spans="1:10" s="47" customFormat="1" ht="24" customHeight="1">
      <c r="A44" s="49"/>
      <c r="B44" s="16" t="s">
        <v>210</v>
      </c>
      <c r="C44" s="30"/>
      <c r="D44" s="29"/>
      <c r="E44" s="5"/>
      <c r="F44" s="5"/>
      <c r="G44" s="5"/>
      <c r="H44" s="25"/>
      <c r="I44" s="29"/>
      <c r="J44" s="30"/>
    </row>
    <row r="45" spans="1:10" s="10" customFormat="1" ht="51" customHeight="1">
      <c r="A45" s="22">
        <f>+'[1]2-шакл'!A40</f>
        <v>21</v>
      </c>
      <c r="B45" s="23" t="s">
        <v>211</v>
      </c>
      <c r="C45" s="27">
        <v>1</v>
      </c>
      <c r="D45" s="25">
        <v>143.565687</v>
      </c>
      <c r="E45" s="4">
        <v>137.858618</v>
      </c>
      <c r="F45" s="4">
        <v>137.858618</v>
      </c>
      <c r="G45" s="26">
        <f>+F45/E45*100%</f>
        <v>1</v>
      </c>
      <c r="H45" s="25">
        <f>108.56366105+17.2323275+5.16969855</f>
        <v>130.9656871</v>
      </c>
      <c r="I45" s="26">
        <v>1</v>
      </c>
      <c r="J45" s="24" t="s">
        <v>156</v>
      </c>
    </row>
    <row r="46" spans="1:10" s="47" customFormat="1" ht="24" customHeight="1">
      <c r="A46" s="49"/>
      <c r="B46" s="16" t="s">
        <v>212</v>
      </c>
      <c r="C46" s="30"/>
      <c r="D46" s="29"/>
      <c r="E46" s="5"/>
      <c r="F46" s="5"/>
      <c r="G46" s="5"/>
      <c r="H46" s="25"/>
      <c r="I46" s="29"/>
      <c r="J46" s="30"/>
    </row>
    <row r="47" spans="1:10" s="10" customFormat="1" ht="51" customHeight="1">
      <c r="A47" s="22">
        <f>+'[1]2-шакл'!A41</f>
        <v>22</v>
      </c>
      <c r="B47" s="23" t="s">
        <v>213</v>
      </c>
      <c r="C47" s="27">
        <v>1</v>
      </c>
      <c r="D47" s="25">
        <v>462.11344465</v>
      </c>
      <c r="E47" s="4">
        <v>473.172047</v>
      </c>
      <c r="F47" s="4">
        <v>473.172047</v>
      </c>
      <c r="G47" s="26">
        <f aca="true" t="shared" si="1" ref="G47:G53">+F47/E47*100%</f>
        <v>1</v>
      </c>
      <c r="H47" s="25">
        <f>269.1076925+148.34924125+32.05606625</f>
        <v>449.513</v>
      </c>
      <c r="I47" s="26">
        <v>1</v>
      </c>
      <c r="J47" s="24" t="s">
        <v>170</v>
      </c>
    </row>
    <row r="48" spans="1:10" s="10" customFormat="1" ht="51" customHeight="1">
      <c r="A48" s="22">
        <f>+'[1]2-шакл'!A42</f>
        <v>23</v>
      </c>
      <c r="B48" s="23" t="s">
        <v>221</v>
      </c>
      <c r="C48" s="27">
        <v>1</v>
      </c>
      <c r="D48" s="25">
        <v>504</v>
      </c>
      <c r="E48" s="4">
        <v>1092.608831</v>
      </c>
      <c r="F48" s="4">
        <v>480.492045</v>
      </c>
      <c r="G48" s="26">
        <f t="shared" si="1"/>
        <v>0.4397658442502558</v>
      </c>
      <c r="H48" s="25">
        <f>327.7826493+152.2173507</f>
        <v>480</v>
      </c>
      <c r="I48" s="26">
        <f>+H48/E48*100%</f>
        <v>0.43931550467213826</v>
      </c>
      <c r="J48" s="24" t="s">
        <v>145</v>
      </c>
    </row>
    <row r="49" spans="1:10" s="10" customFormat="1" ht="24" customHeight="1">
      <c r="A49" s="49"/>
      <c r="B49" s="16" t="s">
        <v>214</v>
      </c>
      <c r="C49" s="28">
        <f>SUM(C50:C53)</f>
        <v>4</v>
      </c>
      <c r="D49" s="34">
        <f>SUM(D50:D53)</f>
        <v>289.80006425</v>
      </c>
      <c r="E49" s="35">
        <f>SUM(E50:E53)</f>
        <v>294.951914</v>
      </c>
      <c r="F49" s="35">
        <f>SUM(F50:F53)</f>
        <v>294.951913</v>
      </c>
      <c r="G49" s="9">
        <f t="shared" si="1"/>
        <v>0.9999999966096168</v>
      </c>
      <c r="H49" s="35">
        <f>SUM(H50:H53)</f>
        <v>280.20378291</v>
      </c>
      <c r="I49" s="9">
        <f>+H49/E49*100%</f>
        <v>0.949998184822764</v>
      </c>
      <c r="J49" s="36"/>
    </row>
    <row r="50" spans="1:10" s="10" customFormat="1" ht="69" customHeight="1">
      <c r="A50" s="22">
        <f>+'[1]2-шакл'!A44</f>
        <v>24</v>
      </c>
      <c r="B50" s="23" t="s">
        <v>215</v>
      </c>
      <c r="C50" s="27">
        <v>1</v>
      </c>
      <c r="D50" s="40">
        <v>93</v>
      </c>
      <c r="E50" s="41">
        <v>90</v>
      </c>
      <c r="F50" s="41">
        <v>90</v>
      </c>
      <c r="G50" s="26">
        <f t="shared" si="1"/>
        <v>1</v>
      </c>
      <c r="H50" s="25">
        <f>27+58.5</f>
        <v>85.5</v>
      </c>
      <c r="I50" s="26">
        <v>1</v>
      </c>
      <c r="J50" s="24" t="s">
        <v>171</v>
      </c>
    </row>
    <row r="51" spans="1:10" s="10" customFormat="1" ht="68.25" customHeight="1">
      <c r="A51" s="22">
        <f>+'[1]2-шакл'!A45</f>
        <v>25</v>
      </c>
      <c r="B51" s="23" t="s">
        <v>222</v>
      </c>
      <c r="C51" s="27">
        <v>1</v>
      </c>
      <c r="D51" s="25">
        <v>64.8178515</v>
      </c>
      <c r="E51" s="4">
        <v>66.65069</v>
      </c>
      <c r="F51" s="4">
        <v>66.65069</v>
      </c>
      <c r="G51" s="26">
        <f t="shared" si="1"/>
        <v>1</v>
      </c>
      <c r="H51" s="25">
        <f>56.83647295+6.48152705</f>
        <v>63.318</v>
      </c>
      <c r="I51" s="26">
        <v>1</v>
      </c>
      <c r="J51" s="24" t="s">
        <v>220</v>
      </c>
    </row>
    <row r="52" spans="1:10" s="10" customFormat="1" ht="69" customHeight="1">
      <c r="A52" s="22">
        <f>+'[1]2-шакл'!A46</f>
        <v>26</v>
      </c>
      <c r="B52" s="23" t="s">
        <v>223</v>
      </c>
      <c r="C52" s="27">
        <v>1</v>
      </c>
      <c r="D52" s="25">
        <v>59.13337985</v>
      </c>
      <c r="E52" s="4">
        <v>62.245663</v>
      </c>
      <c r="F52" s="4">
        <v>62.245662</v>
      </c>
      <c r="G52" s="26">
        <f t="shared" si="1"/>
        <v>0.9999999839346237</v>
      </c>
      <c r="H52" s="25">
        <f>18.6736989+40.4593011</f>
        <v>59.132999999999996</v>
      </c>
      <c r="I52" s="26">
        <v>1</v>
      </c>
      <c r="J52" s="27" t="s">
        <v>172</v>
      </c>
    </row>
    <row r="53" spans="1:10" s="10" customFormat="1" ht="69" customHeight="1">
      <c r="A53" s="22">
        <f>+'[1]2-шакл'!A47</f>
        <v>27</v>
      </c>
      <c r="B53" s="23" t="s">
        <v>224</v>
      </c>
      <c r="C53" s="27">
        <v>1</v>
      </c>
      <c r="D53" s="25">
        <v>72.8488329</v>
      </c>
      <c r="E53" s="4">
        <v>76.055561</v>
      </c>
      <c r="F53" s="4">
        <v>76.055561</v>
      </c>
      <c r="G53" s="26">
        <f t="shared" si="1"/>
        <v>1</v>
      </c>
      <c r="H53" s="25">
        <f>22.8166683+49.43611461</f>
        <v>72.25278291</v>
      </c>
      <c r="I53" s="26">
        <v>1</v>
      </c>
      <c r="J53" s="27" t="s">
        <v>172</v>
      </c>
    </row>
    <row r="54" spans="1:10" s="10" customFormat="1" ht="33" customHeight="1">
      <c r="A54" s="50"/>
      <c r="B54" s="43" t="s">
        <v>225</v>
      </c>
      <c r="C54" s="50"/>
      <c r="D54" s="44">
        <v>261.457487384499</v>
      </c>
      <c r="E54" s="7"/>
      <c r="F54" s="5">
        <v>81.225072</v>
      </c>
      <c r="G54" s="4"/>
      <c r="H54" s="5">
        <v>81.225072</v>
      </c>
      <c r="I54" s="25"/>
      <c r="J54" s="45"/>
    </row>
    <row r="55" spans="1:10" s="10" customFormat="1" ht="33" customHeight="1">
      <c r="A55" s="50"/>
      <c r="B55" s="43" t="s">
        <v>226</v>
      </c>
      <c r="C55" s="50"/>
      <c r="D55" s="44">
        <v>76.378</v>
      </c>
      <c r="E55" s="7"/>
      <c r="F55" s="6"/>
      <c r="G55" s="6"/>
      <c r="H55" s="46"/>
      <c r="I55" s="46"/>
      <c r="J55" s="45"/>
    </row>
  </sheetData>
  <sheetProtection/>
  <mergeCells count="14">
    <mergeCell ref="E3:E5"/>
    <mergeCell ref="F3:G3"/>
    <mergeCell ref="H3:I3"/>
    <mergeCell ref="J3:J5"/>
    <mergeCell ref="F4:F5"/>
    <mergeCell ref="G4:G5"/>
    <mergeCell ref="H4:H5"/>
    <mergeCell ref="I4:I5"/>
    <mergeCell ref="A1:J1"/>
    <mergeCell ref="H2:J2"/>
    <mergeCell ref="A3:A5"/>
    <mergeCell ref="B3:B5"/>
    <mergeCell ref="C3:C5"/>
    <mergeCell ref="D3:D5"/>
  </mergeCells>
  <printOptions/>
  <pageMargins left="0.7874015748031497" right="0" top="0.35433070866141736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2022-01-10T14:24:45Z</dcterms:modified>
  <cp:category/>
  <cp:version/>
  <cp:contentType/>
  <cp:contentStatus/>
</cp:coreProperties>
</file>